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cenario Comparison" sheetId="2" state="visible" r:id="rId4"/>
    <sheet name="Feeder Calf Detail" sheetId="3" state="visible" r:id="rId5"/>
    <sheet name="Hay Shortage Analysi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<sst xmlns="http://schemas.openxmlformats.org/spreadsheetml/2006/main" count="559" uniqueCount="406">
  <si>
    <t xml:space="preserve">HC DROUGHT SCENARIO MODEL  —  Version 2.0  (Apr 13, 2026) — PARK COUNTY &amp; MONTANA CATTLE OPERATIONS | April 2026</t>
  </si>
  <si>
    <t xml:space="preserve">Model built April 13, 2026 | Blue cells = hardcoded inputs (change these) | Black cells = formulas | Yellow = key assumption needing attention | Source: USDA AMS_1778 March 29–Apr 4 2026; NRCS SNOTEL Apr 10 2026; HC Weekly Forecast</t>
  </si>
  <si>
    <t xml:space="preserve">SECTION A — RANCH PARAMETERS  (Base Ranch: Park County MT, Upper Shields Valley)</t>
  </si>
  <si>
    <t xml:space="preserve">Total cow herd (breeding females, head)</t>
  </si>
  <si>
    <t xml:space="preserve">Typical Park County mid-size operation</t>
  </si>
  <si>
    <t xml:space="preserve">Conception rate  (% of cows exposed to bull that settle pregnant)</t>
  </si>
  <si>
    <t xml:space="preserve">BASE=92% (MSU Ext normal: 88–95%). Drought: poor BCS→lower estrus→lower conception. S1≈90%; S2≈87%; S3≈83%. Change col B (base) and D/E/F (scenarios) per your herd.</t>
  </si>
  <si>
    <t xml:space="preserve">← Col D=S1 Moderate | E=S2 Severe | F=S3 Extreme (all user-adjustable)</t>
  </si>
  <si>
    <t xml:space="preserve">Birth-to-wean survival  (% of live calves born that are alive at weaning)</t>
  </si>
  <si>
    <t xml:space="preserve">BASE=97% (dystocia ~1%, neonatal death ~1%, summer death loss ~1%). Drought: heat stress + poor nutrition → ↑scours, pinkeye, respiratory. S1≈96%; S2≈94%; S3≈91%. Adjust cols B and D/E/F per herd health history.</t>
  </si>
  <si>
    <t xml:space="preserve">WEANING PERCENTAGE  =  Conception rate × Birth-to-wean survival
(calves weaned ÷ cows exposed — standard USDA / HC reporting basis)</t>
  </si>
  <si>
    <t xml:space="preserve">◄ FORMULA — change rows 6 &amp; 7, not this cell. MT USDA NASS avg weaning %: 83–88%. Well-managed herds: 88–92%. Example: 92% conception × 97% survival = 89.2% weaning %. All calf volume calculations in downstream tabs use Assumptions!B8.</t>
  </si>
  <si>
    <t xml:space="preserve">Steer calf percentage of calf crop (%)</t>
  </si>
  <si>
    <t xml:space="preserve">50/50 split assumed</t>
  </si>
  <si>
    <t xml:space="preserve">Heifer calf percentage of calf crop (%)</t>
  </si>
  <si>
    <t xml:space="preserve">Avg weaning weight — steers (lb)</t>
  </si>
  <si>
    <t xml:space="preserve">Park County avg; mountain-grass influence</t>
  </si>
  <si>
    <t xml:space="preserve">Avg weaning weight — heifers (lb)</t>
  </si>
  <si>
    <t xml:space="preserve">Replacement heifers retained (% of heifer calves)</t>
  </si>
  <si>
    <t xml:space="preserve">30% retained as replacements</t>
  </si>
  <si>
    <t xml:space="preserve">Hay on hand — carry-over inventory (tons)</t>
  </si>
  <si>
    <t xml:space="preserve">ASSUMPTION: Change per operation</t>
  </si>
  <si>
    <t xml:space="preserve">Hay consumption per cow-calf pair/month (tons)</t>
  </si>
  <si>
    <t xml:space="preserve">~130 lb/day = 0.065 tons; AUM basis</t>
  </si>
  <si>
    <t xml:space="preserve">Carrying capacity — normal year (AUM)</t>
  </si>
  <si>
    <t xml:space="preserve">SECTION B — PRICE ANCHORS  (Source: USDA AMS_1778 week of Mar 29–Apr 4 2026; CME Apr 11 2026)</t>
  </si>
  <si>
    <t xml:space="preserve">Base steer calf price — 550 lb ($/cwt)</t>
  </si>
  <si>
    <t xml:space="preserve">AMS_1778 581-lb avg; interpolated to 550</t>
  </si>
  <si>
    <t xml:space="preserve">Base steer calf price — 600-650 lb ($/cwt)</t>
  </si>
  <si>
    <t xml:space="preserve">AMS_1778 630-lb avg Mar 29–Apr 4 2026</t>
  </si>
  <si>
    <t xml:space="preserve">Base steer calf price — 700 lb ($/cwt)</t>
  </si>
  <si>
    <t xml:space="preserve">AMS_1778 727-lb avg</t>
  </si>
  <si>
    <t xml:space="preserve">Base heifer calf price — 550-600 lb ($/cwt)</t>
  </si>
  <si>
    <t xml:space="preserve">AMS_1778 578-lb avg</t>
  </si>
  <si>
    <t xml:space="preserve">Base heifer calf price — 600-650 lb ($/cwt)</t>
  </si>
  <si>
    <t xml:space="preserve">AMS_1778 629-lb avg</t>
  </si>
  <si>
    <t xml:space="preserve">Cull cow price — boner/lean ($/cwt)</t>
  </si>
  <si>
    <t xml:space="preserve">AMS_1778 week Mar 22-28 avg; most recent</t>
  </si>
  <si>
    <t xml:space="preserve">Cull bull price ($/cwt)</t>
  </si>
  <si>
    <t xml:space="preserve">AMS_1778 week Mar 22-28 avg</t>
  </si>
  <si>
    <t xml:space="preserve">Bred cow value — replacement quality ($/head)</t>
  </si>
  <si>
    <t xml:space="preserve">AMS_1778 Mar 29-Apr 4; 800-845 lb avg $3,055</t>
  </si>
  <si>
    <t xml:space="preserve">Bred heifer value ($/head)</t>
  </si>
  <si>
    <t xml:space="preserve">AMS_1778 Mar 29-Apr 4; 750-798 lb avg $3,043</t>
  </si>
  <si>
    <t xml:space="preserve">Hay replacement cost — alfalfa ($/ton)</t>
  </si>
  <si>
    <t xml:space="preserve">Northern Plains delivered; CattleFax 2026</t>
  </si>
  <si>
    <t xml:space="preserve">Hay replacement cost — grass hay ($/ton)</t>
  </si>
  <si>
    <t xml:space="preserve">Montana local grass hay; market estimate</t>
  </si>
  <si>
    <t xml:space="preserve">May GF (CME Feeder Cattle futures) ($/cwt)</t>
  </si>
  <si>
    <t xml:space="preserve">CME settlement Apr 11 2026</t>
  </si>
  <si>
    <t xml:space="preserve">June LE (CME Live Cattle futures) ($/cwt)</t>
  </si>
  <si>
    <t xml:space="preserve">SECTION C — MARKETING CHANNEL ASSUMPTIONS  (see Feeder Calf Detail tab for full comparison)</t>
  </si>
  <si>
    <t xml:space="preserve">Auction commission rate (% of gross sale price)</t>
  </si>
  <si>
    <t xml:space="preserve">Typical MT auction commission 2–3% of gross sale price; confirm with your yard</t>
  </si>
  <si>
    <t xml:space="preserve">Trucking shrink — ring auction (% of pay weight)</t>
  </si>
  <si>
    <t xml:space="preserve">2% typical Billings; 1.5–3% depending on distance; applied to ring auction only</t>
  </si>
  <si>
    <t xml:space="preserve">Cattle buyer bid/ask spread vs. auction gross ($/cwt)</t>
  </si>
  <si>
    <t xml:space="preserve">Buyer discount vs. auction: $3–$8/cwt typical on plain lots; can match auction on 50+ hd uniform loads. NO published MT data — change this cell based on your buyer relationships.</t>
  </si>
  <si>
    <t xml:space="preserve">Video auction commission rate (% of gross)</t>
  </si>
  <si>
    <t xml:space="preserve">NLV / Superior Livestock ~2.5–3.5%; cattle ship ranch-direct → no trucking shrink</t>
  </si>
  <si>
    <t xml:space="preserve">Preconditioning premium — video/internet vs. ring ($/cwt)</t>
  </si>
  <si>
    <t xml:space="preserve">Documented VAC45+ preconditioned loads: $8–$25/cwt premium on video (SLA research 2024). Plain undocumented drought calves: $0–$5/cwt. Change based on your health program and cattle quality.</t>
  </si>
  <si>
    <t xml:space="preserve">% of calf crop sold via ring auction</t>
  </si>
  <si>
    <t xml:space="preserve">Your operation — 60–70% of MT calves sold private treaty/buyer; 15–20% ring; 15–20% video. Change per your plan.</t>
  </si>
  <si>
    <t xml:space="preserve">% of calf crop sold via cattle buyer (private treaty)</t>
  </si>
  <si>
    <t xml:space="preserve">Dominant MT channel — change per your marketing plan</t>
  </si>
  <si>
    <t xml:space="preserve">% of calf crop sold via video/internet auction</t>
  </si>
  <si>
    <t xml:space="preserve">NLV / Superior / DVAuction — only viable for uniform 50+ hd preconditioned documented loads</t>
  </si>
  <si>
    <t xml:space="preserve">Cattle buyer pencil shrink  (% clipped from ranch scale weight)</t>
  </si>
  <si>
    <t xml:space="preserve">Standard MT: buyer clips 2% off scale weight before paying. On 600 lb calf @ $474/cwt = 12 lbs unpaid = ~$5.69/cwt hidden cost to seller. Separate from and on top of bid/ask spread.</t>
  </si>
  <si>
    <t xml:space="preserve">Gate cut  (% of load buyer rejects at delivery — normal market)</t>
  </si>
  <si>
    <t xml:space="preserve">DEFAULT 0% = current 2026 market (buyers taking everything). Normal market: 2–5%. Drought S2/S3: potentially 5%+. Rejected cattle sold separately at ~15% discount to agreed price.</t>
  </si>
  <si>
    <t xml:space="preserve">Gate cut realization  (% of agreed load price received on rejects)</t>
  </si>
  <si>
    <t xml:space="preserve">Rejected cattle typically realize 80–90% of agreed load price. Drought distress calves: 75–80%. Used in gate cut cost formula.</t>
  </si>
  <si>
    <t xml:space="preserve">HC DROUGHT SCENARIO MODEL — PARK COUNTY MT | SCENARIO COMPARISON SUMMARY</t>
  </si>
  <si>
    <t xml:space="preserve">Three scenarios: S1 = Mild Drought (D1, AUM-15%), S2 = Moderate Drought (D2, AUM-30%), S3 = Severe Drought (D3+, AUM-45%).  All inputs flow from Assumptions sheet (blue).  Per-head and total-operation impacts shown.  Key assumptions noted in each column header.</t>
  </si>
  <si>
    <t xml:space="preserve">METRIC</t>
  </si>
  <si>
    <t xml:space="preserve">NORMAL YEAR
(No drought baseline)</t>
  </si>
  <si>
    <t xml:space="preserve">S1 — MILD DROUGHT
D1 | AUM –15%
SNOTEL 65–75%
DSCI 100–150
Grass short 3–4 wks</t>
  </si>
  <si>
    <t xml:space="preserve">S2 — MODERATE
D2 | AUM –30%
SNOTEL 50–65%
DSCI 150–250
Grass short 6–8 wks</t>
  </si>
  <si>
    <t xml:space="preserve">S3 — SEVERE
D3+ | AUM –45%
SNOTEL &lt;50%
DSCI 250+
Grass fails June–Jul</t>
  </si>
  <si>
    <t xml:space="preserve">S2 vs Normal
$ Impact</t>
  </si>
  <si>
    <t xml:space="preserve">AUM multiplier (1.0 = full capacity)</t>
  </si>
  <si>
    <t xml:space="preserve">SECTION</t>
  </si>
  <si>
    <t xml:space="preserve">—</t>
  </si>
  <si>
    <t xml:space="preserve">Cow herd (breeding females, head)</t>
  </si>
  <si>
    <t xml:space="preserve">Base from Assumptions!B5</t>
  </si>
  <si>
    <t xml:space="preserve">Effective AUM capacity (AUM)</t>
  </si>
  <si>
    <t xml:space="preserve">Normal = Assumptions!B14; Drought = Normal × AUM multiplier (row 4)</t>
  </si>
  <si>
    <t xml:space="preserve">AUM shortfall vs normal (AUM)</t>
  </si>
  <si>
    <t xml:space="preserve">0</t>
  </si>
  <si>
    <t xml:space="preserve">Negative = capacity lost</t>
  </si>
  <si>
    <t xml:space="preserve">Months grazing available (mo)</t>
  </si>
  <si>
    <t xml:space="preserve">5.0</t>
  </si>
  <si>
    <t xml:space="preserve">Normal Park County grass season ≈ 5 months; drought shortens proportionally</t>
  </si>
  <si>
    <t xml:space="preserve">Total calves born (head)</t>
  </si>
  <si>
    <t xml:space="preserve">S2/S3: slight calf crop reduction; heat stress, late-season cow condition</t>
  </si>
  <si>
    <t xml:space="preserve">Steer calves available (head)</t>
  </si>
  <si>
    <t xml:space="preserve">50% of calves born</t>
  </si>
  <si>
    <t xml:space="preserve">Heifer calves born (head)</t>
  </si>
  <si>
    <t xml:space="preserve">v2: S1/S2/S3 now use scenario-specific weaning % (Assumptions D8/E8/F8 = conception × survival per scenario). Change Assumptions rows 6–7 cols D/E/F to adjust.</t>
  </si>
  <si>
    <t xml:space="preserve">Replacement heifers retained (head)</t>
  </si>
  <si>
    <t xml:space="preserve">S1: –10% retention; S2: –30%; S3: –60% (can't feed replacement heifers)</t>
  </si>
  <si>
    <t xml:space="preserve">Heifer calves sold to market (head)</t>
  </si>
  <si>
    <t xml:space="preserve">Total heifers born minus retained</t>
  </si>
  <si>
    <t xml:space="preserve">Weaning weight — steers (lb ACTUAL)</t>
  </si>
  <si>
    <t xml:space="preserve">S1: –3% wt (short late grass); S2: –7% (early wean Aug); S3: –13% (early wean July)</t>
  </si>
  <si>
    <t xml:space="preserve">Weaning weight — heifers (lb ACTUAL)</t>
  </si>
  <si>
    <t xml:space="preserve">Same weight discount as steers</t>
  </si>
  <si>
    <t xml:space="preserve">Adjusted steer calf price ($/cwt)</t>
  </si>
  <si>
    <t xml:space="preserve">S1: –5% (light flush); S2: –12% (supply surge); S3: –20% (mass liquidation)</t>
  </si>
  <si>
    <t xml:space="preserve">Adjusted heifer calf price ($/cwt)</t>
  </si>
  <si>
    <t xml:space="preserve">Heifers discounted more than steers in drought liquidation</t>
  </si>
  <si>
    <t xml:space="preserve">Price discount vs normal — steers</t>
  </si>
  <si>
    <t xml:space="preserve">-5.0%</t>
  </si>
  <si>
    <t xml:space="preserve">-12.0%</t>
  </si>
  <si>
    <t xml:space="preserve">-20.0%</t>
  </si>
  <si>
    <t xml:space="preserve">Hardcoded scenario discount applied above</t>
  </si>
  <si>
    <t xml:space="preserve">Price discount vs normal — heifers</t>
  </si>
  <si>
    <t xml:space="preserve">-6.0%</t>
  </si>
  <si>
    <t xml:space="preserve">-15.0%</t>
  </si>
  <si>
    <t xml:space="preserve">-25.0%</t>
  </si>
  <si>
    <t xml:space="preserve">Steer calf revenue ($/head × head)</t>
  </si>
  <si>
    <t xml:space="preserve">Price ($/cwt) × weight (cwt) × head count</t>
  </si>
  <si>
    <t xml:space="preserve">Heifer calf revenue</t>
  </si>
  <si>
    <t xml:space="preserve">Heifer price × heifer weight × heifers sold</t>
  </si>
  <si>
    <t xml:space="preserve">Total feeder calf revenue</t>
  </si>
  <si>
    <t xml:space="preserve">Sum of steer + heifer calf revenue</t>
  </si>
  <si>
    <t xml:space="preserve">Normal cull rate (% of herd)</t>
  </si>
  <si>
    <t xml:space="preserve">12.0%</t>
  </si>
  <si>
    <t xml:space="preserve">15.0%</t>
  </si>
  <si>
    <t xml:space="preserve">22.0%</t>
  </si>
  <si>
    <t xml:space="preserve">35.0%</t>
  </si>
  <si>
    <t xml:space="preserve">Normal 12%; S1 forced early culls; S2 aggressive cull; S3 liquidation</t>
  </si>
  <si>
    <t xml:space="preserve">Cull cows marketed (head)</t>
  </si>
  <si>
    <t xml:space="preserve">Cow herd × cull rate</t>
  </si>
  <si>
    <t xml:space="preserve">Cull cow price ($/cwt) — drought adj</t>
  </si>
  <si>
    <t xml:space="preserve">S1: +3% (early demand); S2: –3% (supply flush); S3: –15% (market overwhelmed)</t>
  </si>
  <si>
    <t xml:space="preserve">Avg cull cow weight (lb)</t>
  </si>
  <si>
    <t xml:space="preserve">1350</t>
  </si>
  <si>
    <t xml:space="preserve">1280</t>
  </si>
  <si>
    <t xml:space="preserve">1200</t>
  </si>
  <si>
    <t xml:space="preserve">1100</t>
  </si>
  <si>
    <t xml:space="preserve">Drought cows lighter; S3 = poor-condition emergency sells</t>
  </si>
  <si>
    <t xml:space="preserve">Cull cow revenue</t>
  </si>
  <si>
    <t xml:space="preserve">Head × price ($/cwt) × weight (cwt)</t>
  </si>
  <si>
    <t xml:space="preserve">Cull bulls marketed (head)</t>
  </si>
  <si>
    <t xml:space="preserve">Normal 3% bull turnover; S3 = sell extra bulls to reduce feed demand</t>
  </si>
  <si>
    <t xml:space="preserve">Cull bull revenue</t>
  </si>
  <si>
    <t xml:space="preserve">Head × bull price ($/cwt) × avg 1,800 lb</t>
  </si>
  <si>
    <t xml:space="preserve">Total cull revenue</t>
  </si>
  <si>
    <t xml:space="preserve">Cull cows + cull bulls</t>
  </si>
  <si>
    <t xml:space="preserve">Bred cows sold (drought liquidation, head)</t>
  </si>
  <si>
    <t xml:space="preserve">10</t>
  </si>
  <si>
    <t xml:space="preserve">40</t>
  </si>
  <si>
    <t xml:space="preserve">120</t>
  </si>
  <si>
    <t xml:space="preserve">Normal = 0; S1 = sell marginal old breds; S2–S3 = forced liquidation of productive females</t>
  </si>
  <si>
    <t xml:space="preserve">Bred cow price ($/head) — drought adj</t>
  </si>
  <si>
    <t xml:space="preserve">S1: –4%; S2: –12%; S3: –28% (supply surge depresses bred market)</t>
  </si>
  <si>
    <t xml:space="preserve">Bred cow liquidation revenue</t>
  </si>
  <si>
    <t xml:space="preserve">Bred heifers sold vs retained (head)</t>
  </si>
  <si>
    <t xml:space="preserve">5</t>
  </si>
  <si>
    <t xml:space="preserve">20</t>
  </si>
  <si>
    <t xml:space="preserve">60</t>
  </si>
  <si>
    <t xml:space="preserve">Retention cut: additional heifers sold when grass forces destocking</t>
  </si>
  <si>
    <t xml:space="preserve">Bred heifer price ($/head) — adj</t>
  </si>
  <si>
    <t xml:space="preserve">Same discount structure as bred cows</t>
  </si>
  <si>
    <t xml:space="preserve">Bred heifer liquidation revenue</t>
  </si>
  <si>
    <t xml:space="preserve">Total female liquidation revenue</t>
  </si>
  <si>
    <t xml:space="preserve">Supplemental hay needed (months)</t>
  </si>
  <si>
    <t xml:space="preserve">2</t>
  </si>
  <si>
    <t xml:space="preserve">4</t>
  </si>
  <si>
    <t xml:space="preserve">6</t>
  </si>
  <si>
    <t xml:space="preserve">S1: Aug–Sep short grass; S2: Jul–Oct; S3: Jun–Nov; operator must purchase</t>
  </si>
  <si>
    <t xml:space="preserve">Hay required — cows (tons)</t>
  </si>
  <si>
    <t xml:space="preserve">Months × 0.065 tons/cow/month × cow head count</t>
  </si>
  <si>
    <t xml:space="preserve">Hay on hand (tons)</t>
  </si>
  <si>
    <t xml:space="preserve">From Assumptions; change per operation</t>
  </si>
  <si>
    <t xml:space="preserve">Hay deficit — must purchase (tons)</t>
  </si>
  <si>
    <t xml:space="preserve">Max(0, required minus on-hand)</t>
  </si>
  <si>
    <t xml:space="preserve">Hay purchase cost — grass hay base</t>
  </si>
  <si>
    <t xml:space="preserve">Deficit tons × grass hay price ($/ton)</t>
  </si>
  <si>
    <t xml:space="preserve">Hay price stress factor (drought premium)</t>
  </si>
  <si>
    <t xml:space="preserve">0.0%</t>
  </si>
  <si>
    <t xml:space="preserve">65.0%</t>
  </si>
  <si>
    <t xml:space="preserve">S3: statewide shortage; hay trades at 65%+ premium above normal</t>
  </si>
  <si>
    <t xml:space="preserve">Hay purchase cost — drought-adjusted</t>
  </si>
  <si>
    <t xml:space="preserve">Base cost × (1 + drought premium)</t>
  </si>
  <si>
    <t xml:space="preserve">Hay delivery / freight estimate</t>
  </si>
  <si>
    <t xml:space="preserve">$/ton freight; S3 = haul from distant sources; $15–$40/ton range</t>
  </si>
  <si>
    <t xml:space="preserve">Total hay cost (purchase + freight)</t>
  </si>
  <si>
    <t xml:space="preserve">Cross-ref from feeder calf section above</t>
  </si>
  <si>
    <t xml:space="preserve">Bred cows + bred heifers sold under duress</t>
  </si>
  <si>
    <t xml:space="preserve">Total GROSS REVENUE</t>
  </si>
  <si>
    <t xml:space="preserve">Total hay cost (operating expense)</t>
  </si>
  <si>
    <t xml:space="preserve">NET OPERATING IMPACT vs normal</t>
  </si>
  <si>
    <t xml:space="preserve">Gross revenue change minus additional hay cost change vs normal year</t>
  </si>
  <si>
    <t xml:space="preserve">Per-cow NET IMPACT ($/cow)</t>
  </si>
  <si>
    <t xml:space="preserve">Total net impact ÷ cow herd size</t>
  </si>
  <si>
    <t xml:space="preserve">Bred cows entering winter (head)</t>
  </si>
  <si>
    <t xml:space="preserve">Starting herd minus culls plus bred cows sold (net) plus heifers retained</t>
  </si>
  <si>
    <t xml:space="preserve">Winter feeding period (months)</t>
  </si>
  <si>
    <t xml:space="preserve">5.5</t>
  </si>
  <si>
    <t xml:space="preserve">6.0</t>
  </si>
  <si>
    <t xml:space="preserve">6.5</t>
  </si>
  <si>
    <t xml:space="preserve">Normal Park County = 5.5 mo; drought = longer hay feeding needed spring</t>
  </si>
  <si>
    <t xml:space="preserve">Total winter hay required (tons)</t>
  </si>
  <si>
    <t xml:space="preserve">Cows × tons/cow/month × months</t>
  </si>
  <si>
    <t xml:space="preserve">Hay likely available post-summer (tons)</t>
  </si>
  <si>
    <t xml:space="preserve">On-hand minus summer use; S2/S3: production also reduced (own hay crop fails)</t>
  </si>
  <si>
    <t xml:space="preserve">Winter hay DEFICIT (tons — must buy)</t>
  </si>
  <si>
    <t xml:space="preserve">Must source before November; market increasingly tight in S2/S3</t>
  </si>
  <si>
    <t xml:space="preserve">Winter hay procurement cost</t>
  </si>
  <si>
    <t xml:space="preserve">Deficit tons × hay price × drought premium</t>
  </si>
  <si>
    <t xml:space="preserve">FEEDER CALF SALE DETAIL — GRASS-ELSEWHERE MARKET | Weight × Price × Timing × Destination</t>
  </si>
  <si>
    <t xml:space="preserve">Key assumption: drought calves sell lighter and earlier; buyers pay less per cwt for lighter calves; grass-elsewhere premiums apply if calves are sound, uniform, and preconditioned. Prices anchored to USDA AMS_1778 Mar 29–Apr 4 2026 weight-class ladder.</t>
  </si>
  <si>
    <t xml:space="preserve">METRIC / WEIGHT CLASS</t>
  </si>
  <si>
    <t xml:space="preserve">NORMAL YEAR
(Sell Oct, full weight)</t>
  </si>
  <si>
    <t xml:space="preserve">S1 — MILD
(Sell Sep, –3% wt)</t>
  </si>
  <si>
    <t xml:space="preserve">S2 — MODERATE
(Sell Aug, –7% wt, early wean)</t>
  </si>
  <si>
    <t xml:space="preserve">S3 — SEVERE
(Sell Jul, –13% wt, distress)</t>
  </si>
  <si>
    <t xml:space="preserve">ASSUMPTION</t>
  </si>
  <si>
    <t xml:space="preserve">GRASS-ELSEWHERE
PREMIUM NOTE</t>
  </si>
  <si>
    <t xml:space="preserve">550 lb steers $/cwt</t>
  </si>
  <si>
    <t xml:space="preserve">AMS_1778 581-lb avg = $498.52; lighter drought weaners shift into this class</t>
  </si>
  <si>
    <t xml:space="preserve">Preconditioned, uniform loads: +$10-20/cwt premium from Plains grass buyers</t>
  </si>
  <si>
    <t xml:space="preserve">600-650 lb steers $/cwt</t>
  </si>
  <si>
    <t xml:space="preserve">AMS_1778 630-lb avg = $474.47</t>
  </si>
  <si>
    <t xml:space="preserve">Highest-demand weight for Plains grass; $15-25/cwt premium if 200-head+ uniform load</t>
  </si>
  <si>
    <t xml:space="preserve">700 lb steers $/cwt</t>
  </si>
  <si>
    <t xml:space="preserve">AMS_1778 727-lb avg = $413.18; heavy steers less competitive for grass</t>
  </si>
  <si>
    <t xml:space="preserve">700+ lb: most buyers targeting yearling finishing, not grass; minimal premium</t>
  </si>
  <si>
    <t xml:space="preserve">550-lb class — revenue/head</t>
  </si>
  <si>
    <t xml:space="preserve">$/cwt × actual weaning weight (drought-adjusted)</t>
  </si>
  <si>
    <t xml:space="preserve">600-lb class — revenue/head</t>
  </si>
  <si>
    <t xml:space="preserve">Primary weight class; full normal wt = 550 lb → 600 lb class with normal grass</t>
  </si>
  <si>
    <t xml:space="preserve">Grass-elsewhere buyer: pays for the calf's ability to gain 200-300 lb on grass</t>
  </si>
  <si>
    <t xml:space="preserve">550 lb heifers $/cwt</t>
  </si>
  <si>
    <t xml:space="preserve">AMS_1778 578-lb avg = $436.33</t>
  </si>
  <si>
    <t xml:space="preserve">Replacement buyers active for heifers; adds demand floor</t>
  </si>
  <si>
    <t xml:space="preserve">600-650 lb heifers $/cwt</t>
  </si>
  <si>
    <t xml:space="preserve">AMS_1778 629-lb avg = $419.81</t>
  </si>
  <si>
    <t xml:space="preserve">Replacement demand supports 600-lb heifers even in drought liquidation</t>
  </si>
  <si>
    <t xml:space="preserve">Normal marketing window</t>
  </si>
  <si>
    <t xml:space="preserve">Oct–Nov, at full wean wt</t>
  </si>
  <si>
    <t xml:space="preserve">Sep, slight weight discount, normal channels</t>
  </si>
  <si>
    <t xml:space="preserve">Aug, early wean, precondition 45 days, Sep sale</t>
  </si>
  <si>
    <t xml:space="preserve">Jul, immediate sale, no preconditioning time</t>
  </si>
  <si>
    <t xml:space="preserve">Preconditioning 45 days adds $15-25/cwt in S2 if time allows</t>
  </si>
  <si>
    <t xml:space="preserve">Primary sale channel — recommendation</t>
  </si>
  <si>
    <t xml:space="preserve">Ring auction (PAYS/BLS Feeder Special)
OR cattle buyer private treaty on uniform lots 50+ hd</t>
  </si>
  <si>
    <t xml:space="preserve">PAYS/BLS Feeder Special
OR Northern Livestock Video
OR cattle buyer — weight &amp; timing still favorable</t>
  </si>
  <si>
    <t xml:space="preserve">Northern Livestock Video / Superior Livestock
OR cattle buyer if 50+ hd uniform load
Avoid ring auction for distressed cattle</t>
  </si>
  <si>
    <t xml:space="preserve">Cattle buyer or local ring auction — speed over premium
Video/internet unlikely at this weight &amp; condition
Accept first reasonable bid</t>
  </si>
  <si>
    <t xml:space="preserve">NOTE: Private treaty / cattle buyer is dominant MT channel (60–70% of calves); always an option alongside auction. See marketing channel analysis below.</t>
  </si>
  <si>
    <t xml:space="preserve">Grass destinations for MT calves</t>
  </si>
  <si>
    <t xml:space="preserve">ND/SD/NE Sandhills</t>
  </si>
  <si>
    <t xml:space="preserve">ND/SD/NE Sandhills — still available</t>
  </si>
  <si>
    <t xml:space="preserve">NE/KS — wheat pasture may be drying; KS Flint Hills primary</t>
  </si>
  <si>
    <t xml:space="preserve">Reduced options; Flint Hills KS + CO/WY native grass if available</t>
  </si>
  <si>
    <t xml:space="preserve">Kansas Flint Hills: peak demand Apr-Jun for 500-700 lb calves</t>
  </si>
  <si>
    <t xml:space="preserve">Est. days on grass (buyer projection)</t>
  </si>
  <si>
    <t xml:space="preserve">110</t>
  </si>
  <si>
    <t xml:space="preserve">90</t>
  </si>
  <si>
    <t xml:space="preserve">Lighter calves need more gain time; S3 distress calves may not fit buyer programs</t>
  </si>
  <si>
    <t xml:space="preserve">Breakeven implied gain needed (lb)</t>
  </si>
  <si>
    <t xml:space="preserve">280</t>
  </si>
  <si>
    <t xml:space="preserve">270</t>
  </si>
  <si>
    <t xml:space="preserve">240</t>
  </si>
  <si>
    <t xml:space="preserve">200</t>
  </si>
  <si>
    <t xml:space="preserve">From purchase weight to ~800 lb market weight</t>
  </si>
  <si>
    <t xml:space="preserve">Lighter, earlier calves carry more gross gain opportunity = premium</t>
  </si>
  <si>
    <t xml:space="preserve">MARKETING CHANNEL COMPARISON — Ring Auction vs. Cattle Buyer (Private Treaty) vs. Video/Internet Auction</t>
  </si>
  <si>
    <t xml:space="preserve">Data basis: HC 96-week Montana auction analysis (honestcattle.net/montana-cattle-auction-trends/); USDA AMS_1778; MSU Extension marketing guides; SLA value-added program research (2024); Federal Register price discovery study (2024). KEY FINDING: No published MT-specific price comparison for cattle buyer vs. ring auction exists. The net difference depends on lot size, uniformity, health documentation, and negotiating skill — modeled below as adjustable inputs.</t>
  </si>
  <si>
    <t xml:space="preserve">FACTOR</t>
  </si>
  <si>
    <t xml:space="preserve">RING AUCTION
(PAYS / BLS / local yard)</t>
  </si>
  <si>
    <t xml:space="preserve">CATTLE BUYER
(Private treaty)</t>
  </si>
  <si>
    <t xml:space="preserve">VIDEO / INTERNET
(NLV / Superior)</t>
  </si>
  <si>
    <t xml:space="preserve">CATTLE BUYER
vs. Auction  Δ</t>
  </si>
  <si>
    <t xml:space="preserve">VIDEO
vs. Auction  Δ</t>
  </si>
  <si>
    <t xml:space="preserve">NOTES / SOURCE</t>
  </si>
  <si>
    <t xml:space="preserve">INPUTS — Change blue cells to model your operation</t>
  </si>
  <si>
    <t xml:space="preserve">Base auction gross price — 600 lb steer ($/cwt)</t>
  </si>
  <si>
    <t xml:space="preserve">Pulled from Assumptions tab — AMS_1778 current</t>
  </si>
  <si>
    <t xml:space="preserve">AMS_1778 Mar 29–Apr 4: $474.47/cwt; change in Assumptions B18</t>
  </si>
  <si>
    <t xml:space="preserve">ASSUMPTION: Typical MT auction commission 2–3% of gross; confirm with your yard</t>
  </si>
  <si>
    <t xml:space="preserve">PAYS/BLS typical: ~$2.50–$3.00/cwt on 500–600 lb calves = ~2–2.5% of $474/cwt price</t>
  </si>
  <si>
    <t xml:space="preserve">Trucking shrink to auction (% of sale weight)</t>
  </si>
  <si>
    <t xml:space="preserve">ASSUMPTION: 2% typical; 1.5–3% depending on distance and conditions</t>
  </si>
  <si>
    <t xml:space="preserve">Calves lose 2–3% BW in transit; shrink at auction yard before weighing adds cost to seller</t>
  </si>
  <si>
    <t xml:space="preserve">Cattle buyer bid/ask spread vs. auction ($/cwt)</t>
  </si>
  <si>
    <t xml:space="preserve">ASSUMPTION: Buyer discount vs. auction gross. Negative = buyer pays less than auction gross.
Range: $3–$8/cwt below auction on plain lots; can equal or exceed auction NET on large uniform loads.
THIS IS THE KEY UNKNOWN — no published MT data. Adjust based on your buyer relationships.</t>
  </si>
  <si>
    <t xml:space="preserve">Cattle buyer margins MT: ~$3–$8/cwt typical. On 50+ head uniform preconditioned load, buyer may meet auction gross to secure a sure thing. Change this cell — it drives the comparison.</t>
  </si>
  <si>
    <t xml:space="preserve">STANDARD MT practice: buyer clips 2% from ranch scale weight — paid on 98% of actual weight regardless of true shrink. Separate from and IN ADDITION TO the bid/ask spread. On 600 lb calf @ $474/cwt: 2% pencil shrink = 12 lbs unpaid = ~$5.69/cwt equivalent cost to seller. Ring auction: shrink is a real physical loss (trucking); pencil shrink is a contractual deduction.</t>
  </si>
  <si>
    <t xml:space="preserve">Cattle buyer gate cut  (% of load buyer rejects at delivery)</t>
  </si>
  <si>
    <t xml:space="preserve">Buyer's right to reject cattle that don't fit load spec: wrong weight class, lame, sick, unweaned, wrong sex. Rejected cattle must be marketed separately — typically at 10–20% discount to agreed load price. DEFAULT SET TO 0% — current 2026 market: historic herd lows mean buyers taking everything (as noted). CHANGE TO 3–5% for normal market modeling. Drought S2/S3: may rise if mixed/light/stressed cattle are hard to place in feedlots at agreed spec. Ring auction and video: NO gate cut — every animal sells to the highest bidder.</t>
  </si>
  <si>
    <t xml:space="preserve">Gate cut realization  (% of agreed price received on rejected cattle)</t>
  </si>
  <si>
    <t xml:space="preserve">DEFAULT 85% (rejects sell at ~15% discount). Normal market: 80–90%. Drought S2/S3 stressed cattle: 75–80%. Only applies when gate cut % &gt; 0. At current 0% gate cut this cell has no effect.</t>
  </si>
  <si>
    <t xml:space="preserve">Price slide rate  ($/cwt deducted per 100 lb overweight above base — buyer protection only)</t>
  </si>
  <si>
    <t xml:space="preserve">DEFINITION: Amount buyer deducts from agreed $/cwt for every 100 lbs cattle come in HEAVIER than the base weight estimated at sale time. THIS IS ONE-DIRECTIONAL: if cattle come in LIGHTER (drought underrun), the slide does NOT increase $/cwt for the seller — seller simply gets paid on fewer pounds. The slide protects the BUYER from overweight cattle, not the seller from underweight cattle. Typical negotiated range: $12–$20/cwt per 100 lbs, set near the market weight discount. AMS_1778 current ladder: ~$17/cwt per 100 lbs ($498→$474→$413/cwt). APPLIES TO: cattle buyer (private treaty) and video auctions. NOT TO ring auction: cattle weigh in at barn on sale day, price set on actual weight.</t>
  </si>
  <si>
    <t xml:space="preserve">Estimated delivery weight agreed at sale  (lbs/head)</t>
  </si>
  <si>
    <t xml:space="preserve">Weight seller estimates at time of sale — sets the slide BASE. If actual weight exceeds this, buyer deducts slide rate × overrun lbs. If actual weight is below this (drought underrun), seller gets no relief — just fewer pounds at the agreed price. SELLER INCENTIVE: underestimate weight slightly so cattle rarely come in heavy. Research (Brorsen 2001): sellers systematically underestimate to avoid slide penalties.</t>
  </si>
  <si>
    <t xml:space="preserve">Actual delivery weight  (lbs/head — set equal to estimated for no slide)</t>
  </si>
  <si>
    <t xml:space="preserve">DEFAULT = 600 lb (equals estimated — $0 slide). Set HIGHER than R33 to model slide deduction (e.g. 650 lb → buyer deducts $7.50/cwt). DROUGHT: if calves come in at 540 lb (lighter than estimated), slide = $0 — seller gets NO price benefit. Just paid on 540 lbs at the agreed-on 600 lb price. The full weight shortfall is the seller's loss. Revenue per head = net $/cwt × ACTUAL lbs delivered.</t>
  </si>
  <si>
    <t xml:space="preserve">Video auction premium vs. ring auction  ($/cwt for documented loads)</t>
  </si>
  <si>
    <t xml:space="preserve">Documented, preconditioned, uniform loads: typically $8–$25/cwt above ring auction (SLA research 2024). Plain/undocumented drought calves: $0–$5/cwt. Set to 0 if cattle are not health-documented.</t>
  </si>
  <si>
    <t xml:space="preserve">Video auction commission rate  (% of gross sale price)</t>
  </si>
  <si>
    <t xml:space="preserve">NLV / Superior Livestock typical: 2.5–3.5%. Cattle ship ranch-direct — no trucking shrink.</t>
  </si>
  <si>
    <t xml:space="preserve">CALCULATED NET PROCEEDS — per head at actual delivery weight  |  Change blue inputs above</t>
  </si>
  <si>
    <t xml:space="preserve">Gross price paid by buyer ($/cwt)</t>
  </si>
  <si>
    <t xml:space="preserve">Auction=base price. Buyer=base+bid/ask spread. Video=base+preconditioning premium.</t>
  </si>
  <si>
    <t xml:space="preserve">Less: commission to seller ($/cwt)</t>
  </si>
  <si>
    <t xml:space="preserve">Cattle buyer: NO commission — key advantage vs. auction and video.</t>
  </si>
  <si>
    <t xml:space="preserve">Less: trucking shrink to barn ($/cwt equiv.)</t>
  </si>
  <si>
    <t xml:space="preserve">Auction only: calves shrink in transit to barn. Buyer and video: weigh at ranch.</t>
  </si>
  <si>
    <t xml:space="preserve">Less: pencil shrink deduction ($/cwt equiv.)</t>
  </si>
  <si>
    <t xml:space="preserve">Buyer clips 2% from ranch scale weight regardless of actual shrink. Hidden cost.</t>
  </si>
  <si>
    <t xml:space="preserve">Less: gate cut effective cost ($/cwt equiv.)</t>
  </si>
  <si>
    <t xml:space="preserve">Default B30=0% (current market: buyers taking everything). Change B30 to 3-5% for normal market. Formula: gate cut % × (1-realization %).</t>
  </si>
  <si>
    <t xml:space="preserve">Less: price slide deduction  ($/cwt — applies ONLY when cattle heavier than estimated)</t>
  </si>
  <si>
    <t xml:space="preserve">CORRECTED: Slide is buyer protection only — one-directional deduction. When cattle heavier than estimated: buyer deducts slide amount. When cattle LIGHTER than estimated (drought): NO upward adjustment — seller simply delivers fewer pounds at the agreed price. MIN(0,...) formula enforces this: only deductions pass through, never additions. Drought sellers take the full weight loss with no price offset.</t>
  </si>
  <si>
    <t xml:space="preserve">NET PROCEEDS TO SELLER  ($/cwt after ALL costs)</t>
  </si>
  <si>
    <t xml:space="preserve">Includes: commission + trucking shrink + pencil shrink + gate cut + slide. Full cost picture.</t>
  </si>
  <si>
    <t xml:space="preserve">NET PROCEEDS PER HEAD  (net $/cwt × actual delivery weight)</t>
  </si>
  <si>
    <t xml:space="preserve">Uses ACTUAL delivery weight (B34) — change this to model drought weight underruns.</t>
  </si>
  <si>
    <t xml:space="preserve">NET PROCEEDS  — 100-head steer lot ($)</t>
  </si>
  <si>
    <t xml:space="preserve">Scale: multiply NET per head × your actual lot size.</t>
  </si>
  <si>
    <t xml:space="preserve">DROUGHT CHANNEL STRATEGY — Which channel to prioritize by scenario</t>
  </si>
  <si>
    <t xml:space="preserve">NORMAL YEAR</t>
  </si>
  <si>
    <t xml:space="preserve">PAYS/BLS Feeder Special (Oct–Nov)
OR cattle buyer for 50+ hd uniform loads
Both competitive</t>
  </si>
  <si>
    <t xml:space="preserve">Both viable — auction for price discovery; buyer for convenience and timing flexibility</t>
  </si>
  <si>
    <t xml:space="preserve">Video (NLV/Superior) for preconditioned 100+ hd lots — best premium capture</t>
  </si>
  <si>
    <t xml:space="preserve">Change buyer spread input above to model your buyer relationship under each scenario.</t>
  </si>
  <si>
    <t xml:space="preserve">SCENARIO 1 — Mild Drought</t>
  </si>
  <si>
    <t xml:space="preserve">PAYS/BLS Feeder Special (Sep–Oct)
Slight weight discount; demand still strong</t>
  </si>
  <si>
    <t xml:space="preserve">Cattle buyer remains competitive — S1 cattle still marketable quality</t>
  </si>
  <si>
    <t xml:space="preserve">Video still works if documented; slightly lower premium as drought visible in cattle</t>
  </si>
  <si>
    <t xml:space="preserve">SCENARIO 2 — Severe Drought</t>
  </si>
  <si>
    <t xml:space="preserve">Northern Livestock Video / Superior
For documented preconditioned loads
Ring auction for plain cattle</t>
  </si>
  <si>
    <t xml:space="preserve">PREFERRED for large uniform lots — buyer flexibility on timing critical (sell Aug vs. wait for Oct)</t>
  </si>
  <si>
    <t xml:space="preserve">Best channel IF cattle preconditioned — $10–$15/cwt premium worth the planning lead time</t>
  </si>
  <si>
    <t xml:space="preserve">SCENARIO 3 — Extreme Drought</t>
  </si>
  <si>
    <t xml:space="preserve">Local ring auction if no alternatives
Accept speed over premium</t>
  </si>
  <si>
    <t xml:space="preserve">CATTLE BUYER IS PRIMARY — timing urgent; buyer comes to you; no hauling stressed cattle
Accept first reasonable bid from established buyer</t>
  </si>
  <si>
    <t xml:space="preserve">Video unlikely — cattle too light/early/plain; buyers see drought condition in video description</t>
  </si>
  <si>
    <t xml:space="preserve">HAY SHORTAGE ANALYSIS — BRED COW CARRY-OVER &amp; PROCUREMENT STRATEGY | Park County MT</t>
  </si>
  <si>
    <t xml:space="preserve">KEY ASSUMPTION: Bred cow carry-over requires hay from Oct through Apr/May depending on scenario. Own hay production is ALSO impacted by drought. Procurement window: Jul–Sep (buy before prices spike). Source: USDA AMS hay price data; HC Weekly Forecast Apr 13 2026; CattleFax 2026 hay outlook.</t>
  </si>
  <si>
    <t xml:space="preserve">NORMAL</t>
  </si>
  <si>
    <t xml:space="preserve">S1 MILD
D1 | DSCI 100-150</t>
  </si>
  <si>
    <t xml:space="preserve">S2 MODERATE
D2 | DSCI 150-250</t>
  </si>
  <si>
    <t xml:space="preserve">S3 SEVERE
D3+ | DSCI 250+</t>
  </si>
  <si>
    <t xml:space="preserve">UNIT</t>
  </si>
  <si>
    <t xml:space="preserve">KEY ASSUMPTION</t>
  </si>
  <si>
    <t xml:space="preserve">Normal hay production — own (tons/yr)</t>
  </si>
  <si>
    <t xml:space="preserve">800</t>
  </si>
  <si>
    <t xml:space="preserve">tons</t>
  </si>
  <si>
    <t xml:space="preserve">Base: Change per operation | Assumptions!B12 = carry-over only</t>
  </si>
  <si>
    <t xml:space="preserve">Own production impact (% of normal)</t>
  </si>
  <si>
    <t xml:space="preserve">100%</t>
  </si>
  <si>
    <t xml:space="preserve">80%</t>
  </si>
  <si>
    <t xml:space="preserve">55%</t>
  </si>
  <si>
    <t xml:space="preserve">25%</t>
  </si>
  <si>
    <t xml:space="preserve">S1: dry reduces yield; S2: cuts fail; S3: severe crop loss</t>
  </si>
  <si>
    <t xml:space="preserve">Own hay produced — drought year (tons)</t>
  </si>
  <si>
    <t xml:space="preserve">Own hay consumed — summer supplement (tons)</t>
  </si>
  <si>
    <t xml:space="preserve">Cross-ref from Scenario Comparison sheet summer hay need</t>
  </si>
  <si>
    <t xml:space="preserve">Own hay available for winter (tons)</t>
  </si>
  <si>
    <t xml:space="preserve">head</t>
  </si>
  <si>
    <t xml:space="preserve">S2/S3: herd reduced by forced culls and liquidation</t>
  </si>
  <si>
    <t xml:space="preserve">months</t>
  </si>
  <si>
    <t xml:space="preserve">Park County normal = 5.5 mo; drought = longer hay feeding needed into spring</t>
  </si>
  <si>
    <t xml:space="preserve">Hay per cow per month (tons)</t>
  </si>
  <si>
    <t xml:space="preserve">tons/mo</t>
  </si>
  <si>
    <t xml:space="preserve">Assumptions!B13 = 0.065 tons/cow/month (130 lbs/day TDN basis; MSU Extension)</t>
  </si>
  <si>
    <t xml:space="preserve">Total winter hay requirement (tons)</t>
  </si>
  <si>
    <t xml:space="preserve">Cross-ref from own production above</t>
  </si>
  <si>
    <t xml:space="preserve">Winter hay DEFICIT — must procure (tons)</t>
  </si>
  <si>
    <t xml:space="preserve">Base hay price — grass hay ($/ton)</t>
  </si>
  <si>
    <t xml:space="preserve">$/ton</t>
  </si>
  <si>
    <t xml:space="preserve">Source: Assumptions!B_GRASS_HAY</t>
  </si>
  <si>
    <t xml:space="preserve">Drought price premium (% above base)</t>
  </si>
  <si>
    <t xml:space="preserve">S3: statewide shortage; hay hauls 500+ miles; spot market</t>
  </si>
  <si>
    <t xml:space="preserve">Effective hay price — drought adj ($/ton)</t>
  </si>
  <si>
    <t xml:space="preserve">Freight / hauling cost ($/ton)</t>
  </si>
  <si>
    <t xml:space="preserve">15</t>
  </si>
  <si>
    <t xml:space="preserve">28</t>
  </si>
  <si>
    <t xml:space="preserve">S3: hauling from WY/ID/WA adds $25-40/ton</t>
  </si>
  <si>
    <t xml:space="preserve">All-in hay cost ($/ton)</t>
  </si>
  <si>
    <t xml:space="preserve">Total winter hay procurement cost</t>
  </si>
  <si>
    <t xml:space="preserve">$</t>
  </si>
  <si>
    <t xml:space="preserve">Per-cow winter hay cost</t>
  </si>
  <si>
    <t xml:space="preserve">$/cow</t>
  </si>
  <si>
    <t xml:space="preserve">Buy-by date (latest recommended)</t>
  </si>
  <si>
    <t xml:space="preserve">Normal purchasing</t>
  </si>
  <si>
    <t xml:space="preserve">Sep 15</t>
  </si>
  <si>
    <t xml:space="preserve">Aug 1</t>
  </si>
  <si>
    <t xml:space="preserve">Jul 1</t>
  </si>
  <si>
    <t xml:space="preserve">S3: buy July — prices spike Aug-Oct as drought confirmed statewide</t>
  </si>
  <si>
    <t xml:space="preserve">Estimated price if wait until Oct ($/ton)</t>
  </si>
  <si>
    <t xml:space="preserve">Waiting cost: S3 hay could trade $200+/ton delivered Oct-Nov</t>
  </si>
  <si>
    <t xml:space="preserve">Cost of waiting (total premium paid)</t>
  </si>
  <si>
    <t xml:space="preserve">Waiting vs buying now</t>
  </si>
  <si>
    <t xml:space="preserve">Break-even: # cows to sell = hay cost</t>
  </si>
  <si>
    <t xml:space="preserve">How many cull cows at drought cull price cover the hay procurement cost</t>
  </si>
  <si>
    <t xml:space="preserve">As % of herd</t>
  </si>
  <si>
    <t xml:space="preserve">S3: you may need to sell 25-40% of herd just to fund hay procurement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</si>
</sst>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0;\(#,##0.000\);\-"/>
    <numFmt numFmtId="166" formatCode="0.0%"/>
    <numFmt numFmtId="167" formatCode="\$#,##0.00;&quot;($&quot;#,##0.00\);\-"/>
    <numFmt numFmtId="168" formatCode="\$#,##0;&quot;($&quot;#,##0\);\-"/>
    <numFmt numFmtId="169" formatCode="#,##0.00"/>
    <numFmt numFmtId="170" formatCode="#,##0;\(#,##0\);\-"/>
    <numFmt numFmtId="171" formatCode="#,##0.0;\(#,##0.0\);\-"/>
    <numFmt numFmtId="172" formatCode="0.0%;\(0.0%\);\-"/>
    <numFmt numFmtId="173" formatCode="#,##0"/>
    <numFmt numFmtId="174" formatCode="\+#,##0.00;\-#,##0.00;\-"/>
    <numFmt numFmtId="175" formatCode="&quot;+$&quot;#,##0;&quot;-$&quot;#,##0;\-"/>
    <numFmt numFmtId="176" formatCode="\$#,##0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i val="true"/>
      <sz val="9"/>
      <color rgb="FF555555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i val="true"/>
      <sz val="9"/>
      <color rgb="FF2E4A1A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2E4A1E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10"/>
      <color rgb="FFAAAAAA"/>
      <name val="Arial"/>
      <family val="0"/>
      <charset val="1"/>
    </font>
    <font>
      <i val="true"/>
      <sz val="9"/>
      <color rgb="FF2E4A1A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CC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0066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0"/>
      <color rgb="FF006400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2E4A1E"/>
        <bgColor rgb="FF2E4A1A"/>
      </patternFill>
    </fill>
    <fill>
      <patternFill patternType="solid">
        <fgColor rgb="FF4A5E3A"/>
        <bgColor rgb="FF555555"/>
      </patternFill>
    </fill>
    <fill>
      <patternFill patternType="solid">
        <fgColor rgb="FFD6E4C8"/>
        <bgColor rgb="FFDCE6F1"/>
      </patternFill>
    </fill>
    <fill>
      <patternFill patternType="solid">
        <fgColor rgb="FFFFD700"/>
        <bgColor rgb="FFFFFF00"/>
      </patternFill>
    </fill>
    <fill>
      <patternFill patternType="solid">
        <fgColor rgb="FFF2F2F2"/>
        <bgColor rgb="FFF5F0E8"/>
      </patternFill>
    </fill>
    <fill>
      <patternFill patternType="solid">
        <fgColor rgb="FFFFF2CC"/>
        <bgColor rgb="FFFFF0B3"/>
      </patternFill>
    </fill>
    <fill>
      <patternFill patternType="solid">
        <fgColor rgb="FFFFE0E0"/>
        <bgColor rgb="FFF5F0E8"/>
      </patternFill>
    </fill>
    <fill>
      <patternFill patternType="solid">
        <fgColor rgb="FFFFFF00"/>
        <bgColor rgb="FFFFFF00"/>
      </patternFill>
    </fill>
    <fill>
      <patternFill patternType="solid">
        <fgColor rgb="FFFAFAF2"/>
        <bgColor rgb="FFFFFFFF"/>
      </patternFill>
    </fill>
    <fill>
      <patternFill patternType="solid">
        <fgColor rgb="FFFFFFFF"/>
        <bgColor rgb="FFFAFAF2"/>
      </patternFill>
    </fill>
    <fill>
      <patternFill patternType="solid">
        <fgColor rgb="FFE8F5E9"/>
        <bgColor rgb="FFEBF1DE"/>
      </patternFill>
    </fill>
    <fill>
      <patternFill patternType="solid">
        <fgColor rgb="FFFFF0B3"/>
        <bgColor rgb="FFFFF2CC"/>
      </patternFill>
    </fill>
    <fill>
      <patternFill patternType="solid">
        <fgColor rgb="FFF5F0E8"/>
        <bgColor rgb="FFF2F2F2"/>
      </patternFill>
    </fill>
    <fill>
      <patternFill patternType="solid">
        <fgColor rgb="FF2E4A1A"/>
        <bgColor rgb="FF2E4A1E"/>
      </patternFill>
    </fill>
    <fill>
      <patternFill patternType="solid">
        <fgColor rgb="FFDCE6F1"/>
        <bgColor rgb="FFEBF1DE"/>
      </patternFill>
    </fill>
    <fill>
      <patternFill patternType="solid">
        <fgColor rgb="FFEBF1DE"/>
        <bgColor rgb="FFE8F5E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4A1A"/>
      </left>
      <right style="medium">
        <color rgb="FF2E4A1A"/>
      </right>
      <top style="medium">
        <color rgb="FF2E4A1A"/>
      </top>
      <bottom style="medium">
        <color rgb="FF2E4A1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medium">
        <color rgb="FF4A5E3A"/>
      </bottom>
      <diagonal/>
    </border>
    <border diagonalUp="false" diagonalDown="false">
      <left/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4" fillId="4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9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1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11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1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1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8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0" fillId="4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7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7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7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7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7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7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7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7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1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2" fontId="7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2" fontId="7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2" fontId="7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2" fontId="7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11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0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0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0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0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4" fillId="11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24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4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4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4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1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1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8" fillId="15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1" fillId="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1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1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29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7" fillId="1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7" fillId="1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29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5" fontId="29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10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0" fillId="1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0" fillId="1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24" fillId="1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30" fillId="1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10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10" fillId="1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10" fillId="1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5" fontId="24" fillId="1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5" fontId="30" fillId="1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1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1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15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3" fillId="1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0" fillId="11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0" fillId="1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0" fillId="1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0" fillId="8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5C7A3E"/>
      <rgbColor rgb="FF800080"/>
      <rgbColor rgb="FF006400"/>
      <rgbColor rgb="FFF5F0E8"/>
      <rgbColor rgb="FF4A5E3A"/>
      <rgbColor rgb="FF9999FF"/>
      <rgbColor rgb="FF993366"/>
      <rgbColor rgb="FFFFF2CC"/>
      <rgbColor rgb="FFE8F5E9"/>
      <rgbColor rgb="FF660066"/>
      <rgbColor rgb="FFFF8080"/>
      <rgbColor rgb="FF0066CC"/>
      <rgbColor rgb="FFD6E4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EBF1DE"/>
      <rgbColor rgb="FFFFF0B3"/>
      <rgbColor rgb="FFF2F2F2"/>
      <rgbColor rgb="FFFAFAF2"/>
      <rgbColor rgb="FFCC99FF"/>
      <rgbColor rgb="FFFFE0E0"/>
      <rgbColor rgb="FF3366FF"/>
      <rgbColor rgb="FF33CCCC"/>
      <rgbColor rgb="FF99CC00"/>
      <rgbColor rgb="FFFFD700"/>
      <rgbColor rgb="FFFF9900"/>
      <rgbColor rgb="FFCC6600"/>
      <rgbColor rgb="FF666666"/>
      <rgbColor rgb="FFAAAAAA"/>
      <rgbColor rgb="FF003366"/>
      <rgbColor rgb="FF339966"/>
      <rgbColor rgb="FF2E4A1E"/>
      <rgbColor rgb="FF2E4A1A"/>
      <rgbColor rgb="FF9933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4A1E"/>
    <pageSetUpPr fitToPage="false"/>
  </sheetPr>
  <dimension ref="A1:H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13"/>
    <col collapsed="false" customWidth="true" hidden="false" outlineLevel="0" max="3" min="3" style="1" width="46"/>
    <col collapsed="false" customWidth="true" hidden="false" outlineLevel="0" max="8" min="4" style="1" width="13"/>
  </cols>
  <sheetData>
    <row r="1" customFormat="false" ht="51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81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true" outlineLevel="0" collapsed="false"/>
    <row r="4" customFormat="false" ht="36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21" hidden="false" customHeight="true" outlineLevel="0" collapsed="false">
      <c r="A5" s="5" t="s">
        <v>3</v>
      </c>
      <c r="B5" s="6" t="n">
        <v>500</v>
      </c>
      <c r="C5" s="7" t="s">
        <v>4</v>
      </c>
    </row>
    <row r="6" customFormat="false" ht="66" hidden="false" customHeight="true" outlineLevel="0" collapsed="false">
      <c r="A6" s="8" t="s">
        <v>5</v>
      </c>
      <c r="B6" s="9" t="n">
        <v>0.92</v>
      </c>
      <c r="C6" s="10" t="s">
        <v>6</v>
      </c>
      <c r="D6" s="9" t="n">
        <v>0.9</v>
      </c>
      <c r="E6" s="11" t="n">
        <v>0.87</v>
      </c>
      <c r="F6" s="12" t="n">
        <v>0.83</v>
      </c>
      <c r="G6" s="13" t="s">
        <v>7</v>
      </c>
    </row>
    <row r="7" customFormat="false" ht="81" hidden="false" customHeight="true" outlineLevel="0" collapsed="false">
      <c r="A7" s="8" t="s">
        <v>8</v>
      </c>
      <c r="B7" s="9" t="n">
        <v>0.97</v>
      </c>
      <c r="C7" s="10" t="s">
        <v>9</v>
      </c>
      <c r="D7" s="9" t="n">
        <v>0.96</v>
      </c>
      <c r="E7" s="11" t="n">
        <v>0.94</v>
      </c>
      <c r="F7" s="12" t="n">
        <v>0.91</v>
      </c>
      <c r="G7" s="13" t="s">
        <v>7</v>
      </c>
    </row>
    <row r="8" customFormat="false" ht="96" hidden="false" customHeight="true" outlineLevel="0" collapsed="false">
      <c r="A8" s="14" t="s">
        <v>10</v>
      </c>
      <c r="B8" s="15" t="n">
        <f aca="false">B6*B7</f>
        <v>0.8924</v>
      </c>
      <c r="C8" s="16" t="s">
        <v>11</v>
      </c>
      <c r="D8" s="17" t="n">
        <f aca="false">D6*D7</f>
        <v>0.864</v>
      </c>
      <c r="E8" s="17" t="n">
        <f aca="false">E6*E7</f>
        <v>0.8178</v>
      </c>
      <c r="F8" s="17" t="n">
        <f aca="false">F6*F7</f>
        <v>0.7553</v>
      </c>
    </row>
    <row r="9" customFormat="false" ht="21" hidden="false" customHeight="true" outlineLevel="0" collapsed="false">
      <c r="A9" s="5" t="s">
        <v>12</v>
      </c>
      <c r="B9" s="18" t="n">
        <v>0.5</v>
      </c>
      <c r="C9" s="7" t="s">
        <v>13</v>
      </c>
    </row>
    <row r="10" customFormat="false" ht="21" hidden="false" customHeight="true" outlineLevel="0" collapsed="false">
      <c r="A10" s="5" t="s">
        <v>14</v>
      </c>
      <c r="B10" s="18" t="n">
        <v>0.5</v>
      </c>
      <c r="C10" s="19"/>
    </row>
    <row r="11" customFormat="false" ht="21" hidden="false" customHeight="true" outlineLevel="0" collapsed="false">
      <c r="A11" s="5" t="s">
        <v>15</v>
      </c>
      <c r="B11" s="6" t="n">
        <v>550</v>
      </c>
      <c r="C11" s="7" t="s">
        <v>16</v>
      </c>
    </row>
    <row r="12" customFormat="false" ht="21" hidden="false" customHeight="true" outlineLevel="0" collapsed="false">
      <c r="A12" s="5" t="s">
        <v>17</v>
      </c>
      <c r="B12" s="6" t="n">
        <v>515</v>
      </c>
      <c r="C12" s="19"/>
    </row>
    <row r="13" customFormat="false" ht="21" hidden="false" customHeight="true" outlineLevel="0" collapsed="false">
      <c r="A13" s="5" t="s">
        <v>18</v>
      </c>
      <c r="B13" s="18" t="n">
        <v>0.3</v>
      </c>
      <c r="C13" s="7" t="s">
        <v>19</v>
      </c>
    </row>
    <row r="14" customFormat="false" ht="21" hidden="false" customHeight="true" outlineLevel="0" collapsed="false">
      <c r="A14" s="5" t="s">
        <v>20</v>
      </c>
      <c r="B14" s="20" t="n">
        <v>400</v>
      </c>
      <c r="C14" s="7" t="s">
        <v>21</v>
      </c>
    </row>
    <row r="15" customFormat="false" ht="21" hidden="false" customHeight="true" outlineLevel="0" collapsed="false">
      <c r="A15" s="5" t="s">
        <v>22</v>
      </c>
      <c r="B15" s="21" t="n">
        <v>0.065</v>
      </c>
      <c r="C15" s="7" t="s">
        <v>23</v>
      </c>
    </row>
    <row r="16" customFormat="false" ht="21" hidden="false" customHeight="true" outlineLevel="0" collapsed="false">
      <c r="A16" s="22" t="s">
        <v>24</v>
      </c>
      <c r="B16" s="22"/>
      <c r="C16" s="22"/>
      <c r="D16" s="22"/>
      <c r="E16" s="22"/>
      <c r="F16" s="22"/>
      <c r="G16" s="22"/>
      <c r="H16" s="22"/>
    </row>
    <row r="17" customFormat="false" ht="18" hidden="false" customHeight="true" outlineLevel="0" collapsed="false"/>
    <row r="18" customFormat="false" ht="36" hidden="false" customHeight="true" outlineLevel="0" collapsed="false">
      <c r="A18" s="23" t="s">
        <v>25</v>
      </c>
    </row>
    <row r="19" customFormat="false" ht="21" hidden="false" customHeight="true" outlineLevel="0" collapsed="false">
      <c r="A19" s="5" t="s">
        <v>26</v>
      </c>
      <c r="B19" s="24" t="n">
        <v>498.52</v>
      </c>
      <c r="C19" s="7" t="s">
        <v>27</v>
      </c>
    </row>
    <row r="20" customFormat="false" ht="21" hidden="false" customHeight="true" outlineLevel="0" collapsed="false">
      <c r="A20" s="5" t="s">
        <v>28</v>
      </c>
      <c r="B20" s="24" t="n">
        <v>474.47</v>
      </c>
      <c r="C20" s="7" t="s">
        <v>29</v>
      </c>
    </row>
    <row r="21" customFormat="false" ht="21" hidden="false" customHeight="true" outlineLevel="0" collapsed="false">
      <c r="A21" s="5" t="s">
        <v>30</v>
      </c>
      <c r="B21" s="24" t="n">
        <v>413.18</v>
      </c>
      <c r="C21" s="7" t="s">
        <v>31</v>
      </c>
    </row>
    <row r="22" customFormat="false" ht="21" hidden="false" customHeight="true" outlineLevel="0" collapsed="false">
      <c r="A22" s="5" t="s">
        <v>32</v>
      </c>
      <c r="B22" s="24" t="n">
        <v>436.33</v>
      </c>
      <c r="C22" s="7" t="s">
        <v>33</v>
      </c>
    </row>
    <row r="23" customFormat="false" ht="21" hidden="false" customHeight="true" outlineLevel="0" collapsed="false">
      <c r="A23" s="5" t="s">
        <v>34</v>
      </c>
      <c r="B23" s="24" t="n">
        <v>419.81</v>
      </c>
      <c r="C23" s="7" t="s">
        <v>35</v>
      </c>
    </row>
    <row r="24" customFormat="false" ht="21" hidden="false" customHeight="true" outlineLevel="0" collapsed="false">
      <c r="A24" s="5" t="s">
        <v>36</v>
      </c>
      <c r="B24" s="24" t="n">
        <v>162.76</v>
      </c>
      <c r="C24" s="7" t="s">
        <v>37</v>
      </c>
    </row>
    <row r="25" customFormat="false" ht="21" hidden="false" customHeight="true" outlineLevel="0" collapsed="false">
      <c r="A25" s="5" t="s">
        <v>38</v>
      </c>
      <c r="B25" s="24" t="n">
        <v>206.52</v>
      </c>
      <c r="C25" s="7" t="s">
        <v>39</v>
      </c>
    </row>
    <row r="26" customFormat="false" ht="21" hidden="false" customHeight="true" outlineLevel="0" collapsed="false">
      <c r="A26" s="5" t="s">
        <v>40</v>
      </c>
      <c r="B26" s="25" t="n">
        <v>3050</v>
      </c>
      <c r="C26" s="7" t="s">
        <v>41</v>
      </c>
    </row>
    <row r="27" customFormat="false" ht="21" hidden="false" customHeight="true" outlineLevel="0" collapsed="false">
      <c r="A27" s="5" t="s">
        <v>42</v>
      </c>
      <c r="B27" s="25" t="n">
        <v>2900</v>
      </c>
      <c r="C27" s="7" t="s">
        <v>43</v>
      </c>
    </row>
    <row r="28" customFormat="false" ht="21" hidden="false" customHeight="true" outlineLevel="0" collapsed="false">
      <c r="A28" s="5" t="s">
        <v>44</v>
      </c>
      <c r="B28" s="25" t="n">
        <v>185</v>
      </c>
      <c r="C28" s="7" t="s">
        <v>45</v>
      </c>
    </row>
    <row r="29" customFormat="false" ht="21" hidden="false" customHeight="true" outlineLevel="0" collapsed="false">
      <c r="A29" s="5" t="s">
        <v>46</v>
      </c>
      <c r="B29" s="25" t="n">
        <v>130</v>
      </c>
      <c r="C29" s="7" t="s">
        <v>47</v>
      </c>
    </row>
    <row r="30" customFormat="false" ht="21" hidden="false" customHeight="true" outlineLevel="0" collapsed="false">
      <c r="A30" s="5" t="s">
        <v>48</v>
      </c>
      <c r="B30" s="24" t="n">
        <v>372</v>
      </c>
      <c r="C30" s="7" t="s">
        <v>49</v>
      </c>
    </row>
    <row r="31" customFormat="false" ht="21" hidden="false" customHeight="true" outlineLevel="0" collapsed="false">
      <c r="A31" s="5" t="s">
        <v>50</v>
      </c>
      <c r="B31" s="24" t="n">
        <v>247.2</v>
      </c>
      <c r="C31" s="7" t="s">
        <v>49</v>
      </c>
    </row>
    <row r="32" customFormat="false" ht="18" hidden="false" customHeight="true" outlineLevel="0" collapsed="false"/>
    <row r="33" customFormat="false" ht="21.75" hidden="false" customHeight="true" outlineLevel="0" collapsed="false">
      <c r="A33" s="26" t="s">
        <v>51</v>
      </c>
      <c r="B33" s="26"/>
      <c r="C33" s="26"/>
    </row>
    <row r="34" customFormat="false" ht="21.75" hidden="false" customHeight="true" outlineLevel="0" collapsed="false">
      <c r="A34" s="27" t="s">
        <v>52</v>
      </c>
      <c r="B34" s="28" t="n">
        <v>0.025</v>
      </c>
      <c r="C34" s="10" t="s">
        <v>53</v>
      </c>
    </row>
    <row r="35" customFormat="false" ht="21.75" hidden="false" customHeight="true" outlineLevel="0" collapsed="false">
      <c r="A35" s="27" t="s">
        <v>54</v>
      </c>
      <c r="B35" s="28" t="n">
        <v>0.02</v>
      </c>
      <c r="C35" s="10" t="s">
        <v>55</v>
      </c>
    </row>
    <row r="36" customFormat="false" ht="27.75" hidden="false" customHeight="true" outlineLevel="0" collapsed="false">
      <c r="A36" s="27" t="s">
        <v>56</v>
      </c>
      <c r="B36" s="29" t="n">
        <v>-5</v>
      </c>
      <c r="C36" s="10" t="s">
        <v>57</v>
      </c>
    </row>
    <row r="37" customFormat="false" ht="21.75" hidden="false" customHeight="true" outlineLevel="0" collapsed="false">
      <c r="A37" s="27" t="s">
        <v>58</v>
      </c>
      <c r="B37" s="28" t="n">
        <v>0.025</v>
      </c>
      <c r="C37" s="10" t="s">
        <v>59</v>
      </c>
    </row>
    <row r="38" customFormat="false" ht="27.75" hidden="false" customHeight="true" outlineLevel="0" collapsed="false">
      <c r="A38" s="30" t="s">
        <v>60</v>
      </c>
      <c r="B38" s="29" t="n">
        <v>10</v>
      </c>
      <c r="C38" s="10" t="s">
        <v>61</v>
      </c>
    </row>
    <row r="39" customFormat="false" ht="27.75" hidden="false" customHeight="true" outlineLevel="0" collapsed="false">
      <c r="A39" s="27" t="s">
        <v>62</v>
      </c>
      <c r="B39" s="28" t="n">
        <v>0.2</v>
      </c>
      <c r="C39" s="10" t="s">
        <v>63</v>
      </c>
    </row>
    <row r="40" customFormat="false" ht="21.75" hidden="false" customHeight="true" outlineLevel="0" collapsed="false">
      <c r="A40" s="27" t="s">
        <v>64</v>
      </c>
      <c r="B40" s="28" t="n">
        <v>0.55</v>
      </c>
      <c r="C40" s="10" t="s">
        <v>65</v>
      </c>
    </row>
    <row r="41" customFormat="false" ht="21.75" hidden="false" customHeight="true" outlineLevel="0" collapsed="false">
      <c r="A41" s="27" t="s">
        <v>66</v>
      </c>
      <c r="B41" s="28" t="n">
        <v>0.25</v>
      </c>
      <c r="C41" s="10" t="s">
        <v>67</v>
      </c>
    </row>
    <row r="42" customFormat="false" ht="30" hidden="false" customHeight="true" outlineLevel="0" collapsed="false">
      <c r="A42" s="8" t="s">
        <v>68</v>
      </c>
      <c r="B42" s="28" t="n">
        <v>0.02</v>
      </c>
      <c r="C42" s="10" t="s">
        <v>69</v>
      </c>
    </row>
    <row r="43" customFormat="false" ht="30" hidden="false" customHeight="true" outlineLevel="0" collapsed="false">
      <c r="A43" s="8" t="s">
        <v>70</v>
      </c>
      <c r="B43" s="28" t="n">
        <v>0</v>
      </c>
      <c r="C43" s="10" t="s">
        <v>71</v>
      </c>
    </row>
    <row r="44" customFormat="false" ht="30" hidden="false" customHeight="true" outlineLevel="0" collapsed="false">
      <c r="A44" s="8" t="s">
        <v>72</v>
      </c>
      <c r="B44" s="28" t="n">
        <v>0.85</v>
      </c>
      <c r="C44" s="10" t="s">
        <v>73</v>
      </c>
    </row>
  </sheetData>
  <mergeCells count="5">
    <mergeCell ref="A1:H1"/>
    <mergeCell ref="A2:H2"/>
    <mergeCell ref="A4:H4"/>
    <mergeCell ref="A16:H16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5E3A"/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5" min="2" style="1" width="16"/>
    <col collapsed="false" customWidth="true" hidden="false" outlineLevel="0" max="7" min="6" style="1" width="12"/>
    <col collapsed="false" customWidth="true" hidden="false" outlineLevel="0" max="8" min="8" style="1" width="52"/>
  </cols>
  <sheetData>
    <row r="1" customFormat="false" ht="36" hidden="false" customHeight="true" outlineLevel="0" collapsed="false">
      <c r="A1" s="31" t="s">
        <v>74</v>
      </c>
      <c r="B1" s="31"/>
      <c r="C1" s="31"/>
      <c r="D1" s="31"/>
      <c r="E1" s="31"/>
      <c r="F1" s="31"/>
      <c r="G1" s="31"/>
    </row>
    <row r="2" customFormat="false" ht="81" hidden="false" customHeight="true" outlineLevel="0" collapsed="false">
      <c r="A2" s="3" t="s">
        <v>75</v>
      </c>
      <c r="B2" s="3"/>
      <c r="C2" s="3"/>
      <c r="D2" s="3"/>
      <c r="E2" s="3"/>
      <c r="F2" s="3"/>
      <c r="G2" s="3"/>
    </row>
    <row r="3" customFormat="false" ht="90" hidden="false" customHeight="true" outlineLevel="0" collapsed="false">
      <c r="A3" s="32" t="s">
        <v>76</v>
      </c>
      <c r="B3" s="33" t="s">
        <v>77</v>
      </c>
      <c r="C3" s="34" t="s">
        <v>78</v>
      </c>
      <c r="D3" s="35" t="s">
        <v>79</v>
      </c>
      <c r="E3" s="32" t="s">
        <v>80</v>
      </c>
      <c r="F3" s="32" t="s">
        <v>81</v>
      </c>
    </row>
    <row r="4" customFormat="false" ht="21" hidden="false" customHeight="true" outlineLevel="0" collapsed="false">
      <c r="A4" s="36" t="s">
        <v>82</v>
      </c>
      <c r="B4" s="37" t="n">
        <v>1</v>
      </c>
      <c r="C4" s="37" t="n">
        <v>0.85</v>
      </c>
      <c r="D4" s="37" t="n">
        <v>0.7</v>
      </c>
      <c r="E4" s="37" t="n">
        <v>0.55</v>
      </c>
    </row>
    <row r="5" customFormat="false" ht="21" hidden="false" customHeight="true" outlineLevel="0" collapsed="false">
      <c r="A5" s="38" t="s">
        <v>83</v>
      </c>
      <c r="B5" s="39"/>
      <c r="C5" s="40"/>
      <c r="D5" s="41"/>
      <c r="E5" s="42"/>
      <c r="F5" s="43" t="s">
        <v>84</v>
      </c>
      <c r="G5" s="43" t="s">
        <v>84</v>
      </c>
      <c r="H5" s="44"/>
    </row>
    <row r="6" customFormat="false" ht="21" hidden="false" customHeight="true" outlineLevel="0" collapsed="false">
      <c r="A6" s="45" t="s">
        <v>85</v>
      </c>
      <c r="B6" s="46" t="n">
        <f aca="false">Assumptions!B5</f>
        <v>500</v>
      </c>
      <c r="C6" s="47" t="n">
        <f aca="false">Assumptions!B5</f>
        <v>500</v>
      </c>
      <c r="D6" s="48" t="n">
        <f aca="false">Assumptions!B5</f>
        <v>500</v>
      </c>
      <c r="E6" s="49" t="n">
        <f aca="false">Assumptions!B5</f>
        <v>500</v>
      </c>
      <c r="F6" s="43" t="s">
        <v>84</v>
      </c>
      <c r="G6" s="43" t="s">
        <v>84</v>
      </c>
      <c r="H6" s="50" t="s">
        <v>86</v>
      </c>
    </row>
    <row r="7" customFormat="false" ht="36" hidden="false" customHeight="true" outlineLevel="0" collapsed="false">
      <c r="A7" s="38" t="s">
        <v>87</v>
      </c>
      <c r="B7" s="46" t="n">
        <f aca="false">Assumptions!B14</f>
        <v>400</v>
      </c>
      <c r="C7" s="47" t="n">
        <f aca="false">Assumptions!B14*C4</f>
        <v>340</v>
      </c>
      <c r="D7" s="48" t="n">
        <f aca="false">Assumptions!B14*D4</f>
        <v>280</v>
      </c>
      <c r="E7" s="49" t="n">
        <f aca="false">Assumptions!B14*E4</f>
        <v>220</v>
      </c>
      <c r="F7" s="43" t="s">
        <v>84</v>
      </c>
      <c r="G7" s="43" t="s">
        <v>84</v>
      </c>
      <c r="H7" s="50" t="s">
        <v>88</v>
      </c>
    </row>
    <row r="8" customFormat="false" ht="21" hidden="false" customHeight="true" outlineLevel="0" collapsed="false">
      <c r="A8" s="45" t="s">
        <v>89</v>
      </c>
      <c r="B8" s="46" t="s">
        <v>90</v>
      </c>
      <c r="C8" s="47" t="n">
        <f aca="false">B7-C7</f>
        <v>60</v>
      </c>
      <c r="D8" s="48" t="n">
        <f aca="false">B7-D7</f>
        <v>120</v>
      </c>
      <c r="E8" s="49" t="n">
        <f aca="false">B7-E7</f>
        <v>180</v>
      </c>
      <c r="F8" s="43" t="s">
        <v>84</v>
      </c>
      <c r="G8" s="43" t="s">
        <v>84</v>
      </c>
      <c r="H8" s="50" t="s">
        <v>91</v>
      </c>
    </row>
    <row r="9" customFormat="false" ht="36" hidden="false" customHeight="true" outlineLevel="0" collapsed="false">
      <c r="A9" s="38" t="s">
        <v>92</v>
      </c>
      <c r="B9" s="51" t="s">
        <v>93</v>
      </c>
      <c r="C9" s="52" t="n">
        <f aca="false">5*C4</f>
        <v>4.25</v>
      </c>
      <c r="D9" s="53" t="n">
        <f aca="false">5*D4</f>
        <v>3.5</v>
      </c>
      <c r="E9" s="54" t="n">
        <f aca="false">5*E4</f>
        <v>2.75</v>
      </c>
      <c r="F9" s="43" t="s">
        <v>84</v>
      </c>
      <c r="G9" s="43" t="s">
        <v>84</v>
      </c>
      <c r="H9" s="50" t="s">
        <v>94</v>
      </c>
    </row>
    <row r="10" customFormat="false" ht="21" hidden="false" customHeight="true" outlineLevel="0" collapsed="false">
      <c r="A10" s="45" t="s">
        <v>83</v>
      </c>
      <c r="B10" s="39"/>
      <c r="C10" s="40"/>
      <c r="D10" s="41"/>
      <c r="E10" s="42"/>
      <c r="F10" s="43" t="s">
        <v>84</v>
      </c>
      <c r="G10" s="43" t="s">
        <v>84</v>
      </c>
      <c r="H10" s="44"/>
    </row>
    <row r="11" customFormat="false" ht="51" hidden="false" customHeight="true" outlineLevel="0" collapsed="false">
      <c r="A11" s="38" t="s">
        <v>95</v>
      </c>
      <c r="B11" s="46" t="n">
        <f aca="false">Assumptions!B5*Assumptions!B8</f>
        <v>446.2</v>
      </c>
      <c r="C11" s="47" t="n">
        <f aca="false">Assumptions!B5*Assumptions!B8</f>
        <v>446.2</v>
      </c>
      <c r="D11" s="48" t="n">
        <f aca="false">Assumptions!B5*Assumptions!B8*0.97</f>
        <v>432.814</v>
      </c>
      <c r="E11" s="49" t="n">
        <f aca="false">Assumptions!B5*Assumptions!B8*0.93</f>
        <v>414.966</v>
      </c>
      <c r="F11" s="43" t="s">
        <v>84</v>
      </c>
      <c r="G11" s="43" t="s">
        <v>84</v>
      </c>
      <c r="H11" s="50" t="s">
        <v>96</v>
      </c>
    </row>
    <row r="12" customFormat="false" ht="36" hidden="false" customHeight="true" outlineLevel="0" collapsed="false">
      <c r="A12" s="45" t="s">
        <v>97</v>
      </c>
      <c r="B12" s="46" t="n">
        <f aca="false">B11*Assumptions!B7</f>
        <v>432.814</v>
      </c>
      <c r="C12" s="47" t="n">
        <f aca="false">C11*Assumptions!B7</f>
        <v>432.814</v>
      </c>
      <c r="D12" s="48" t="n">
        <f aca="false">D11*Assumptions!B7</f>
        <v>419.82958</v>
      </c>
      <c r="E12" s="49" t="n">
        <f aca="false">E11*Assumptions!B7</f>
        <v>402.51702</v>
      </c>
      <c r="F12" s="43" t="s">
        <v>84</v>
      </c>
      <c r="G12" s="43" t="s">
        <v>84</v>
      </c>
      <c r="H12" s="50" t="s">
        <v>98</v>
      </c>
    </row>
    <row r="13" customFormat="false" ht="51" hidden="false" customHeight="true" outlineLevel="0" collapsed="false">
      <c r="A13" s="38" t="s">
        <v>99</v>
      </c>
      <c r="B13" s="46" t="n">
        <f aca="false">B11*Assumptions!B8</f>
        <v>398.18888</v>
      </c>
      <c r="C13" s="47" t="n">
        <f aca="false">Assumptions!B5*Assumptions!D8</f>
        <v>432</v>
      </c>
      <c r="D13" s="48" t="n">
        <f aca="false">Assumptions!B5*Assumptions!E8</f>
        <v>408.9</v>
      </c>
      <c r="E13" s="49" t="n">
        <f aca="false">Assumptions!B5*Assumptions!F8</f>
        <v>377.65</v>
      </c>
      <c r="F13" s="43" t="s">
        <v>84</v>
      </c>
      <c r="G13" s="43" t="s">
        <v>84</v>
      </c>
      <c r="H13" s="55" t="s">
        <v>100</v>
      </c>
    </row>
    <row r="14" customFormat="false" ht="36" hidden="false" customHeight="true" outlineLevel="0" collapsed="false">
      <c r="A14" s="45" t="s">
        <v>101</v>
      </c>
      <c r="B14" s="46" t="n">
        <f aca="false">B13*Assumptions!B11</f>
        <v>219003.884</v>
      </c>
      <c r="C14" s="47" t="n">
        <f aca="false">C13*Assumptions!B11*0.9</f>
        <v>213840</v>
      </c>
      <c r="D14" s="48" t="n">
        <f aca="false">D13*Assumptions!B11*0.7</f>
        <v>157426.5</v>
      </c>
      <c r="E14" s="49" t="n">
        <f aca="false">E13*Assumptions!B11*0.4</f>
        <v>83083</v>
      </c>
      <c r="F14" s="43" t="s">
        <v>84</v>
      </c>
      <c r="G14" s="43" t="s">
        <v>84</v>
      </c>
      <c r="H14" s="50" t="s">
        <v>102</v>
      </c>
    </row>
    <row r="15" customFormat="false" ht="21" hidden="false" customHeight="true" outlineLevel="0" collapsed="false">
      <c r="A15" s="38" t="s">
        <v>103</v>
      </c>
      <c r="B15" s="46" t="n">
        <f aca="false">B13-B14</f>
        <v>-218605.69512</v>
      </c>
      <c r="C15" s="47" t="n">
        <f aca="false">C13-C14</f>
        <v>-213408</v>
      </c>
      <c r="D15" s="48" t="n">
        <f aca="false">D13-D14</f>
        <v>-157017.6</v>
      </c>
      <c r="E15" s="49" t="n">
        <f aca="false">E13-E14</f>
        <v>-82705.35</v>
      </c>
      <c r="F15" s="43" t="s">
        <v>84</v>
      </c>
      <c r="G15" s="43" t="s">
        <v>84</v>
      </c>
      <c r="H15" s="50" t="s">
        <v>104</v>
      </c>
    </row>
    <row r="16" customFormat="false" ht="21" hidden="false" customHeight="true" outlineLevel="0" collapsed="false">
      <c r="A16" s="45" t="s">
        <v>83</v>
      </c>
      <c r="B16" s="39"/>
      <c r="C16" s="40"/>
      <c r="D16" s="41"/>
      <c r="E16" s="42"/>
      <c r="F16" s="43" t="s">
        <v>84</v>
      </c>
      <c r="G16" s="43" t="s">
        <v>84</v>
      </c>
      <c r="H16" s="44"/>
    </row>
    <row r="17" customFormat="false" ht="36" hidden="false" customHeight="true" outlineLevel="0" collapsed="false">
      <c r="A17" s="38" t="s">
        <v>105</v>
      </c>
      <c r="B17" s="51" t="n">
        <f aca="false">Assumptions!B9</f>
        <v>0.5</v>
      </c>
      <c r="C17" s="52" t="n">
        <f aca="false">Assumptions!B9*0.97</f>
        <v>0.485</v>
      </c>
      <c r="D17" s="53" t="n">
        <f aca="false">Assumptions!B9*0.93</f>
        <v>0.465</v>
      </c>
      <c r="E17" s="54" t="n">
        <f aca="false">Assumptions!B9*0.87</f>
        <v>0.435</v>
      </c>
      <c r="F17" s="43" t="s">
        <v>84</v>
      </c>
      <c r="G17" s="43" t="s">
        <v>84</v>
      </c>
      <c r="H17" s="50" t="s">
        <v>106</v>
      </c>
    </row>
    <row r="18" customFormat="false" ht="36" hidden="false" customHeight="true" outlineLevel="0" collapsed="false">
      <c r="A18" s="45" t="s">
        <v>107</v>
      </c>
      <c r="B18" s="51" t="n">
        <f aca="false">Assumptions!B10</f>
        <v>0.5</v>
      </c>
      <c r="C18" s="52" t="n">
        <f aca="false">Assumptions!B10*0.97</f>
        <v>0.485</v>
      </c>
      <c r="D18" s="53" t="n">
        <f aca="false">Assumptions!B10*0.93</f>
        <v>0.465</v>
      </c>
      <c r="E18" s="54" t="n">
        <f aca="false">Assumptions!B10*0.87</f>
        <v>0.435</v>
      </c>
      <c r="F18" s="43" t="s">
        <v>84</v>
      </c>
      <c r="G18" s="43" t="s">
        <v>84</v>
      </c>
      <c r="H18" s="50" t="s">
        <v>108</v>
      </c>
    </row>
    <row r="19" customFormat="false" ht="21" hidden="false" customHeight="true" outlineLevel="0" collapsed="false">
      <c r="A19" s="38" t="s">
        <v>83</v>
      </c>
      <c r="B19" s="39"/>
      <c r="C19" s="40"/>
      <c r="D19" s="41"/>
      <c r="E19" s="42"/>
      <c r="F19" s="43" t="s">
        <v>84</v>
      </c>
      <c r="G19" s="43" t="s">
        <v>84</v>
      </c>
      <c r="H19" s="44"/>
    </row>
    <row r="20" customFormat="false" ht="36" hidden="false" customHeight="true" outlineLevel="0" collapsed="false">
      <c r="A20" s="45" t="s">
        <v>109</v>
      </c>
      <c r="B20" s="56" t="n">
        <f aca="false">Assumptions!B18</f>
        <v>0</v>
      </c>
      <c r="C20" s="57" t="n">
        <f aca="false">Assumptions!B18*0.95</f>
        <v>0</v>
      </c>
      <c r="D20" s="58" t="n">
        <f aca="false">Assumptions!B18*0.88</f>
        <v>0</v>
      </c>
      <c r="E20" s="59" t="n">
        <f aca="false">Assumptions!B18*0.8</f>
        <v>0</v>
      </c>
      <c r="F20" s="60" t="n">
        <f aca="false">C20-B20</f>
        <v>0</v>
      </c>
      <c r="G20" s="60" t="n">
        <f aca="false">E20-B20</f>
        <v>0</v>
      </c>
      <c r="H20" s="50" t="s">
        <v>110</v>
      </c>
    </row>
    <row r="21" customFormat="false" ht="36" hidden="false" customHeight="true" outlineLevel="0" collapsed="false">
      <c r="A21" s="38" t="s">
        <v>111</v>
      </c>
      <c r="B21" s="56" t="n">
        <f aca="false">Assumptions!B21</f>
        <v>413.18</v>
      </c>
      <c r="C21" s="57" t="n">
        <f aca="false">Assumptions!B21*0.94</f>
        <v>388.3892</v>
      </c>
      <c r="D21" s="58" t="n">
        <f aca="false">Assumptions!B21*0.85</f>
        <v>351.203</v>
      </c>
      <c r="E21" s="59" t="n">
        <f aca="false">Assumptions!B21*0.75</f>
        <v>309.885</v>
      </c>
      <c r="F21" s="60" t="n">
        <f aca="false">C21-B21</f>
        <v>-24.7908</v>
      </c>
      <c r="G21" s="60" t="n">
        <f aca="false">E21-B21</f>
        <v>-103.295</v>
      </c>
      <c r="H21" s="50" t="s">
        <v>112</v>
      </c>
    </row>
    <row r="22" customFormat="false" ht="21" hidden="false" customHeight="true" outlineLevel="0" collapsed="false">
      <c r="A22" s="45" t="s">
        <v>113</v>
      </c>
      <c r="B22" s="61" t="s">
        <v>90</v>
      </c>
      <c r="C22" s="62" t="s">
        <v>114</v>
      </c>
      <c r="D22" s="63" t="s">
        <v>115</v>
      </c>
      <c r="E22" s="64" t="s">
        <v>116</v>
      </c>
      <c r="F22" s="43" t="s">
        <v>84</v>
      </c>
      <c r="G22" s="43" t="s">
        <v>84</v>
      </c>
      <c r="H22" s="50" t="s">
        <v>117</v>
      </c>
    </row>
    <row r="23" customFormat="false" ht="21" hidden="false" customHeight="true" outlineLevel="0" collapsed="false">
      <c r="A23" s="38" t="s">
        <v>118</v>
      </c>
      <c r="B23" s="61" t="s">
        <v>90</v>
      </c>
      <c r="C23" s="62" t="s">
        <v>119</v>
      </c>
      <c r="D23" s="63" t="s">
        <v>120</v>
      </c>
      <c r="E23" s="64" t="s">
        <v>121</v>
      </c>
      <c r="F23" s="43" t="s">
        <v>84</v>
      </c>
      <c r="G23" s="43" t="s">
        <v>84</v>
      </c>
      <c r="H23" s="44"/>
    </row>
    <row r="24" customFormat="false" ht="21" hidden="false" customHeight="true" outlineLevel="0" collapsed="false">
      <c r="A24" s="45" t="s">
        <v>83</v>
      </c>
      <c r="B24" s="39"/>
      <c r="C24" s="40"/>
      <c r="D24" s="41"/>
      <c r="E24" s="42"/>
      <c r="F24" s="43" t="s">
        <v>84</v>
      </c>
      <c r="G24" s="43" t="s">
        <v>84</v>
      </c>
      <c r="H24" s="44"/>
    </row>
    <row r="25" customFormat="false" ht="36" hidden="false" customHeight="true" outlineLevel="0" collapsed="false">
      <c r="A25" s="38" t="s">
        <v>122</v>
      </c>
      <c r="B25" s="65" t="n">
        <f aca="false">(B19/100*B17/100)*B12*100</f>
        <v>0</v>
      </c>
      <c r="C25" s="66" t="n">
        <f aca="false">(C19/100*C17/100)*C12*100</f>
        <v>0</v>
      </c>
      <c r="D25" s="67" t="n">
        <f aca="false">(D19/100*D17/100)*D12*100</f>
        <v>0</v>
      </c>
      <c r="E25" s="68" t="n">
        <f aca="false">(E19/100*E17/100)*E12*100</f>
        <v>0</v>
      </c>
      <c r="F25" s="60" t="n">
        <f aca="false">C25-B25</f>
        <v>0</v>
      </c>
      <c r="G25" s="60" t="n">
        <f aca="false">E25-B25</f>
        <v>0</v>
      </c>
      <c r="H25" s="50" t="s">
        <v>123</v>
      </c>
    </row>
    <row r="26" customFormat="false" ht="36" hidden="false" customHeight="true" outlineLevel="0" collapsed="false">
      <c r="A26" s="45" t="s">
        <v>124</v>
      </c>
      <c r="B26" s="65" t="n">
        <f aca="false">(B20/100*B18/100)*B15*100</f>
        <v>-0</v>
      </c>
      <c r="C26" s="66" t="n">
        <f aca="false">(C20/100*C18/100)*C15*100</f>
        <v>-0</v>
      </c>
      <c r="D26" s="67" t="n">
        <f aca="false">(D20/100*D18/100)*D15*100</f>
        <v>-0</v>
      </c>
      <c r="E26" s="68" t="n">
        <f aca="false">(E20/100*E18/100)*E15*100</f>
        <v>-0</v>
      </c>
      <c r="F26" s="60" t="n">
        <f aca="false">C26-B26</f>
        <v>0</v>
      </c>
      <c r="G26" s="60" t="n">
        <f aca="false">E26-B26</f>
        <v>0</v>
      </c>
      <c r="H26" s="50" t="s">
        <v>125</v>
      </c>
    </row>
    <row r="27" customFormat="false" ht="21" hidden="false" customHeight="true" outlineLevel="0" collapsed="false">
      <c r="A27" s="38" t="s">
        <v>126</v>
      </c>
      <c r="B27" s="65" t="n">
        <f aca="false">B25+B26</f>
        <v>0</v>
      </c>
      <c r="C27" s="66" t="n">
        <f aca="false">C25+C26</f>
        <v>0</v>
      </c>
      <c r="D27" s="67" t="n">
        <f aca="false">D25+D26</f>
        <v>0</v>
      </c>
      <c r="E27" s="68" t="n">
        <f aca="false">E25+E26</f>
        <v>0</v>
      </c>
      <c r="F27" s="60" t="n">
        <f aca="false">C27-B27</f>
        <v>0</v>
      </c>
      <c r="G27" s="60" t="n">
        <f aca="false">E27-B27</f>
        <v>0</v>
      </c>
      <c r="H27" s="50" t="s">
        <v>127</v>
      </c>
    </row>
    <row r="28" customFormat="false" ht="21" hidden="false" customHeight="true" outlineLevel="0" collapsed="false">
      <c r="A28" s="45" t="s">
        <v>83</v>
      </c>
      <c r="B28" s="39"/>
      <c r="C28" s="40"/>
      <c r="D28" s="41"/>
      <c r="E28" s="42"/>
      <c r="F28" s="43" t="s">
        <v>84</v>
      </c>
      <c r="G28" s="43" t="s">
        <v>84</v>
      </c>
      <c r="H28" s="44"/>
    </row>
    <row r="29" customFormat="false" ht="36" hidden="false" customHeight="true" outlineLevel="0" collapsed="false">
      <c r="A29" s="38" t="s">
        <v>128</v>
      </c>
      <c r="B29" s="61" t="s">
        <v>129</v>
      </c>
      <c r="C29" s="62" t="s">
        <v>130</v>
      </c>
      <c r="D29" s="63" t="s">
        <v>131</v>
      </c>
      <c r="E29" s="64" t="s">
        <v>132</v>
      </c>
      <c r="F29" s="43" t="s">
        <v>84</v>
      </c>
      <c r="G29" s="43" t="s">
        <v>84</v>
      </c>
      <c r="H29" s="50" t="s">
        <v>133</v>
      </c>
    </row>
    <row r="30" customFormat="false" ht="36" hidden="false" customHeight="true" outlineLevel="0" collapsed="false">
      <c r="A30" s="45" t="s">
        <v>134</v>
      </c>
      <c r="B30" s="46" t="n">
        <f aca="false">Assumptions!B5*0.12</f>
        <v>60</v>
      </c>
      <c r="C30" s="47" t="n">
        <f aca="false">Assumptions!B5*0.15</f>
        <v>75</v>
      </c>
      <c r="D30" s="48" t="n">
        <f aca="false">Assumptions!B5*0.22</f>
        <v>110</v>
      </c>
      <c r="E30" s="49" t="n">
        <f aca="false">Assumptions!B5*0.35</f>
        <v>175</v>
      </c>
      <c r="F30" s="43" t="s">
        <v>84</v>
      </c>
      <c r="G30" s="43" t="s">
        <v>84</v>
      </c>
      <c r="H30" s="50" t="s">
        <v>135</v>
      </c>
    </row>
    <row r="31" customFormat="false" ht="36" hidden="false" customHeight="true" outlineLevel="0" collapsed="false">
      <c r="A31" s="38" t="s">
        <v>136</v>
      </c>
      <c r="B31" s="56" t="n">
        <f aca="false">Assumptions!B22</f>
        <v>436.33</v>
      </c>
      <c r="C31" s="57" t="n">
        <f aca="false">Assumptions!B22*1.03</f>
        <v>449.4199</v>
      </c>
      <c r="D31" s="58" t="n">
        <f aca="false">Assumptions!B22*0.97</f>
        <v>423.2401</v>
      </c>
      <c r="E31" s="59" t="n">
        <f aca="false">Assumptions!B22*0.85</f>
        <v>370.8805</v>
      </c>
      <c r="F31" s="60" t="n">
        <f aca="false">C31-B31</f>
        <v>13.0899</v>
      </c>
      <c r="G31" s="60" t="n">
        <f aca="false">E31-B31</f>
        <v>-65.4495</v>
      </c>
      <c r="H31" s="50" t="s">
        <v>137</v>
      </c>
    </row>
    <row r="32" customFormat="false" ht="36" hidden="false" customHeight="true" outlineLevel="0" collapsed="false">
      <c r="A32" s="45" t="s">
        <v>138</v>
      </c>
      <c r="B32" s="46" t="s">
        <v>139</v>
      </c>
      <c r="C32" s="47" t="s">
        <v>140</v>
      </c>
      <c r="D32" s="48" t="s">
        <v>141</v>
      </c>
      <c r="E32" s="49" t="s">
        <v>142</v>
      </c>
      <c r="F32" s="43" t="s">
        <v>84</v>
      </c>
      <c r="G32" s="43" t="s">
        <v>84</v>
      </c>
      <c r="H32" s="50" t="s">
        <v>143</v>
      </c>
    </row>
    <row r="33" customFormat="false" ht="36" hidden="false" customHeight="true" outlineLevel="0" collapsed="false">
      <c r="A33" s="38" t="s">
        <v>144</v>
      </c>
      <c r="B33" s="65" t="n">
        <f aca="false">B30*(B32/100)*B31/100*100</f>
        <v>353427.3</v>
      </c>
      <c r="C33" s="66" t="n">
        <f aca="false">C30*(C32/100)*C31/100*100</f>
        <v>431443.104</v>
      </c>
      <c r="D33" s="67" t="n">
        <f aca="false">D30*(D32/100)*D31/100*100</f>
        <v>558676.932</v>
      </c>
      <c r="E33" s="68" t="n">
        <f aca="false">E30*(E32/100)*E31/100*100</f>
        <v>713944.9625</v>
      </c>
      <c r="F33" s="60" t="n">
        <f aca="false">C33-B33</f>
        <v>78015.804</v>
      </c>
      <c r="G33" s="60" t="n">
        <f aca="false">E33-B33</f>
        <v>360517.6625</v>
      </c>
      <c r="H33" s="50" t="s">
        <v>145</v>
      </c>
    </row>
    <row r="34" customFormat="false" ht="36" hidden="false" customHeight="true" outlineLevel="0" collapsed="false">
      <c r="A34" s="45" t="s">
        <v>146</v>
      </c>
      <c r="B34" s="46" t="n">
        <f aca="false">Assumptions!B5*0.03</f>
        <v>15</v>
      </c>
      <c r="C34" s="47" t="n">
        <f aca="false">Assumptions!B5*0.03</f>
        <v>15</v>
      </c>
      <c r="D34" s="48" t="n">
        <f aca="false">Assumptions!B5*0.04</f>
        <v>20</v>
      </c>
      <c r="E34" s="49" t="n">
        <f aca="false">Assumptions!B5*0.06</f>
        <v>30</v>
      </c>
      <c r="F34" s="43" t="s">
        <v>84</v>
      </c>
      <c r="G34" s="43" t="s">
        <v>84</v>
      </c>
      <c r="H34" s="50" t="s">
        <v>147</v>
      </c>
    </row>
    <row r="35" customFormat="false" ht="36" hidden="false" customHeight="true" outlineLevel="0" collapsed="false">
      <c r="A35" s="38" t="s">
        <v>148</v>
      </c>
      <c r="B35" s="65" t="n">
        <f aca="false">B34*(Assumptions!B23/100)*18</f>
        <v>1133.487</v>
      </c>
      <c r="C35" s="66" t="n">
        <f aca="false">C34*(Assumptions!B23/100)*18</f>
        <v>1133.487</v>
      </c>
      <c r="D35" s="67" t="n">
        <f aca="false">D34*(Assumptions!B23/100)*18</f>
        <v>1511.316</v>
      </c>
      <c r="E35" s="68" t="n">
        <f aca="false">E34*(Assumptions!B23/100)*18</f>
        <v>2266.974</v>
      </c>
      <c r="F35" s="60" t="n">
        <f aca="false">C35-B35</f>
        <v>0</v>
      </c>
      <c r="G35" s="60" t="n">
        <f aca="false">E35-B35</f>
        <v>1133.487</v>
      </c>
      <c r="H35" s="50" t="s">
        <v>149</v>
      </c>
    </row>
    <row r="36" customFormat="false" ht="21" hidden="false" customHeight="true" outlineLevel="0" collapsed="false">
      <c r="A36" s="45" t="s">
        <v>150</v>
      </c>
      <c r="B36" s="65" t="n">
        <f aca="false">B33+B35</f>
        <v>354560.787</v>
      </c>
      <c r="C36" s="66" t="n">
        <f aca="false">C33+C35</f>
        <v>432576.591</v>
      </c>
      <c r="D36" s="67" t="n">
        <f aca="false">D33+D35</f>
        <v>560188.248</v>
      </c>
      <c r="E36" s="68" t="n">
        <f aca="false">E33+E35</f>
        <v>716211.9365</v>
      </c>
      <c r="F36" s="60" t="n">
        <f aca="false">C36-B36</f>
        <v>78015.804</v>
      </c>
      <c r="G36" s="60" t="n">
        <f aca="false">E36-B36</f>
        <v>361651.1495</v>
      </c>
      <c r="H36" s="50" t="s">
        <v>151</v>
      </c>
    </row>
    <row r="37" customFormat="false" ht="21" hidden="false" customHeight="true" outlineLevel="0" collapsed="false">
      <c r="A37" s="69" t="s">
        <v>83</v>
      </c>
      <c r="B37" s="70"/>
      <c r="C37" s="71"/>
      <c r="D37" s="72"/>
      <c r="E37" s="73"/>
      <c r="F37" s="43" t="s">
        <v>84</v>
      </c>
      <c r="G37" s="43" t="s">
        <v>84</v>
      </c>
      <c r="H37" s="44"/>
    </row>
    <row r="38" customFormat="false" ht="36" hidden="false" customHeight="true" outlineLevel="0" collapsed="false">
      <c r="A38" s="45" t="s">
        <v>152</v>
      </c>
      <c r="B38" s="46" t="s">
        <v>90</v>
      </c>
      <c r="C38" s="47" t="s">
        <v>153</v>
      </c>
      <c r="D38" s="48" t="s">
        <v>154</v>
      </c>
      <c r="E38" s="49" t="s">
        <v>155</v>
      </c>
      <c r="F38" s="43" t="s">
        <v>84</v>
      </c>
      <c r="G38" s="43" t="s">
        <v>84</v>
      </c>
      <c r="H38" s="50" t="s">
        <v>156</v>
      </c>
    </row>
    <row r="39" customFormat="false" ht="36" hidden="false" customHeight="true" outlineLevel="0" collapsed="false">
      <c r="A39" s="38" t="s">
        <v>157</v>
      </c>
      <c r="B39" s="65" t="n">
        <f aca="false">Assumptions!B24</f>
        <v>162.76</v>
      </c>
      <c r="C39" s="66" t="n">
        <f aca="false">Assumptions!B24*0.96</f>
        <v>156.2496</v>
      </c>
      <c r="D39" s="67" t="n">
        <f aca="false">Assumptions!B24*0.88</f>
        <v>143.2288</v>
      </c>
      <c r="E39" s="68" t="n">
        <f aca="false">Assumptions!B24*0.72</f>
        <v>117.1872</v>
      </c>
      <c r="F39" s="60" t="n">
        <f aca="false">C39-B39</f>
        <v>-6.5104</v>
      </c>
      <c r="G39" s="60" t="n">
        <f aca="false">E39-B39</f>
        <v>-45.5728</v>
      </c>
      <c r="H39" s="50" t="s">
        <v>158</v>
      </c>
    </row>
    <row r="40" customFormat="false" ht="21" hidden="false" customHeight="true" outlineLevel="0" collapsed="false">
      <c r="A40" s="45" t="s">
        <v>159</v>
      </c>
      <c r="B40" s="65" t="n">
        <f aca="false">B38*B39</f>
        <v>0</v>
      </c>
      <c r="C40" s="66" t="n">
        <f aca="false">C38*C39</f>
        <v>1562.496</v>
      </c>
      <c r="D40" s="67" t="n">
        <f aca="false">D38*D39</f>
        <v>5729.152</v>
      </c>
      <c r="E40" s="68" t="n">
        <f aca="false">E38*E39</f>
        <v>14062.464</v>
      </c>
      <c r="F40" s="60" t="n">
        <f aca="false">C40-B40</f>
        <v>1562.496</v>
      </c>
      <c r="G40" s="60" t="n">
        <f aca="false">E40-B40</f>
        <v>14062.464</v>
      </c>
      <c r="H40" s="44"/>
    </row>
    <row r="41" customFormat="false" ht="36" hidden="false" customHeight="true" outlineLevel="0" collapsed="false">
      <c r="A41" s="38" t="s">
        <v>160</v>
      </c>
      <c r="B41" s="46" t="s">
        <v>90</v>
      </c>
      <c r="C41" s="47" t="s">
        <v>161</v>
      </c>
      <c r="D41" s="48" t="s">
        <v>162</v>
      </c>
      <c r="E41" s="49" t="s">
        <v>163</v>
      </c>
      <c r="F41" s="43" t="s">
        <v>84</v>
      </c>
      <c r="G41" s="43" t="s">
        <v>84</v>
      </c>
      <c r="H41" s="50" t="s">
        <v>164</v>
      </c>
    </row>
    <row r="42" customFormat="false" ht="36" hidden="false" customHeight="true" outlineLevel="0" collapsed="false">
      <c r="A42" s="45" t="s">
        <v>165</v>
      </c>
      <c r="B42" s="65" t="n">
        <f aca="false">Assumptions!B25</f>
        <v>206.52</v>
      </c>
      <c r="C42" s="66" t="n">
        <f aca="false">Assumptions!B25*0.96</f>
        <v>198.2592</v>
      </c>
      <c r="D42" s="67" t="n">
        <f aca="false">Assumptions!B25*0.88</f>
        <v>181.7376</v>
      </c>
      <c r="E42" s="68" t="n">
        <f aca="false">Assumptions!B25*0.72</f>
        <v>148.6944</v>
      </c>
      <c r="F42" s="60" t="n">
        <f aca="false">C42-B42</f>
        <v>-8.26080000000002</v>
      </c>
      <c r="G42" s="60" t="n">
        <f aca="false">E42-B42</f>
        <v>-57.8256</v>
      </c>
      <c r="H42" s="50" t="s">
        <v>166</v>
      </c>
    </row>
    <row r="43" customFormat="false" ht="21" hidden="false" customHeight="true" outlineLevel="0" collapsed="false">
      <c r="A43" s="38" t="s">
        <v>167</v>
      </c>
      <c r="B43" s="65" t="n">
        <f aca="false">B41*B42</f>
        <v>0</v>
      </c>
      <c r="C43" s="66" t="n">
        <f aca="false">C41*C42</f>
        <v>991.296</v>
      </c>
      <c r="D43" s="67" t="n">
        <f aca="false">D41*D42</f>
        <v>3634.752</v>
      </c>
      <c r="E43" s="68" t="n">
        <f aca="false">E41*E42</f>
        <v>8921.664</v>
      </c>
      <c r="F43" s="60" t="n">
        <f aca="false">C43-B43</f>
        <v>991.296</v>
      </c>
      <c r="G43" s="60" t="n">
        <f aca="false">E43-B43</f>
        <v>8921.664</v>
      </c>
      <c r="H43" s="44"/>
    </row>
    <row r="44" customFormat="false" ht="21" hidden="false" customHeight="true" outlineLevel="0" collapsed="false">
      <c r="A44" s="45" t="s">
        <v>168</v>
      </c>
      <c r="B44" s="65" t="n">
        <f aca="false">B40+B43</f>
        <v>0</v>
      </c>
      <c r="C44" s="66" t="n">
        <f aca="false">C40+C43</f>
        <v>2553.792</v>
      </c>
      <c r="D44" s="67" t="n">
        <f aca="false">D40+D43</f>
        <v>9363.904</v>
      </c>
      <c r="E44" s="68" t="n">
        <f aca="false">E40+E43</f>
        <v>22984.128</v>
      </c>
      <c r="F44" s="60" t="n">
        <f aca="false">C44-B44</f>
        <v>2553.792</v>
      </c>
      <c r="G44" s="60" t="n">
        <f aca="false">E44-B44</f>
        <v>22984.128</v>
      </c>
      <c r="H44" s="44"/>
    </row>
    <row r="45" customFormat="false" ht="21" hidden="false" customHeight="true" outlineLevel="0" collapsed="false">
      <c r="A45" s="38" t="s">
        <v>83</v>
      </c>
      <c r="B45" s="39"/>
      <c r="C45" s="40"/>
      <c r="D45" s="41"/>
      <c r="E45" s="42"/>
      <c r="F45" s="43" t="s">
        <v>84</v>
      </c>
      <c r="G45" s="43" t="s">
        <v>84</v>
      </c>
      <c r="H45" s="44"/>
    </row>
    <row r="46" customFormat="false" ht="36" hidden="false" customHeight="true" outlineLevel="0" collapsed="false">
      <c r="A46" s="45" t="s">
        <v>169</v>
      </c>
      <c r="B46" s="46" t="s">
        <v>90</v>
      </c>
      <c r="C46" s="47" t="s">
        <v>170</v>
      </c>
      <c r="D46" s="48" t="s">
        <v>171</v>
      </c>
      <c r="E46" s="49" t="s">
        <v>172</v>
      </c>
      <c r="F46" s="43" t="s">
        <v>84</v>
      </c>
      <c r="G46" s="43" t="s">
        <v>84</v>
      </c>
      <c r="H46" s="50" t="s">
        <v>173</v>
      </c>
    </row>
    <row r="47" customFormat="false" ht="51" hidden="false" customHeight="true" outlineLevel="0" collapsed="false">
      <c r="A47" s="38" t="s">
        <v>174</v>
      </c>
      <c r="B47" s="51" t="n">
        <f aca="false">B46*Assumptions!B13*Assumptions!B5</f>
        <v>0</v>
      </c>
      <c r="C47" s="52" t="n">
        <f aca="false">C46*Assumptions!B13*Assumptions!B5</f>
        <v>300</v>
      </c>
      <c r="D47" s="53" t="n">
        <f aca="false">D46*Assumptions!B13*Assumptions!B5</f>
        <v>600</v>
      </c>
      <c r="E47" s="54" t="n">
        <f aca="false">E46*Assumptions!B13*Assumptions!B5</f>
        <v>900</v>
      </c>
      <c r="F47" s="43" t="s">
        <v>84</v>
      </c>
      <c r="G47" s="43" t="s">
        <v>84</v>
      </c>
      <c r="H47" s="50" t="s">
        <v>175</v>
      </c>
    </row>
    <row r="48" customFormat="false" ht="21" hidden="false" customHeight="true" outlineLevel="0" collapsed="false">
      <c r="A48" s="45" t="s">
        <v>176</v>
      </c>
      <c r="B48" s="46" t="n">
        <f aca="false">Assumptions!B12</f>
        <v>515</v>
      </c>
      <c r="C48" s="47" t="n">
        <f aca="false">Assumptions!B12</f>
        <v>515</v>
      </c>
      <c r="D48" s="48" t="n">
        <f aca="false">Assumptions!B12</f>
        <v>515</v>
      </c>
      <c r="E48" s="49" t="n">
        <f aca="false">Assumptions!B12</f>
        <v>515</v>
      </c>
      <c r="F48" s="43" t="s">
        <v>84</v>
      </c>
      <c r="G48" s="43" t="s">
        <v>84</v>
      </c>
      <c r="H48" s="50" t="s">
        <v>177</v>
      </c>
    </row>
    <row r="49" customFormat="false" ht="21" hidden="false" customHeight="true" outlineLevel="0" collapsed="false">
      <c r="A49" s="38" t="s">
        <v>178</v>
      </c>
      <c r="B49" s="51" t="n">
        <f aca="false">MAX(0,B47-B48)</f>
        <v>0</v>
      </c>
      <c r="C49" s="52" t="n">
        <f aca="false">MAX(0,C47-C48)</f>
        <v>0</v>
      </c>
      <c r="D49" s="53" t="n">
        <f aca="false">MAX(0,D47-D48)</f>
        <v>85</v>
      </c>
      <c r="E49" s="54" t="n">
        <f aca="false">MAX(0,E47-E48)</f>
        <v>385</v>
      </c>
      <c r="F49" s="43" t="s">
        <v>84</v>
      </c>
      <c r="G49" s="43" t="s">
        <v>84</v>
      </c>
      <c r="H49" s="50" t="s">
        <v>179</v>
      </c>
    </row>
    <row r="50" customFormat="false" ht="36" hidden="false" customHeight="true" outlineLevel="0" collapsed="false">
      <c r="A50" s="45" t="s">
        <v>180</v>
      </c>
      <c r="B50" s="65" t="n">
        <f aca="false">B49*Assumptions!B27</f>
        <v>0</v>
      </c>
      <c r="C50" s="66" t="n">
        <f aca="false">C49*Assumptions!B27</f>
        <v>0</v>
      </c>
      <c r="D50" s="67" t="n">
        <f aca="false">D49*Assumptions!B27</f>
        <v>246500</v>
      </c>
      <c r="E50" s="68" t="n">
        <f aca="false">E49*Assumptions!B27</f>
        <v>1116500</v>
      </c>
      <c r="F50" s="60" t="n">
        <f aca="false">C50-B50</f>
        <v>0</v>
      </c>
      <c r="G50" s="60" t="n">
        <f aca="false">E50-B50</f>
        <v>1116500</v>
      </c>
      <c r="H50" s="50" t="s">
        <v>181</v>
      </c>
    </row>
    <row r="51" customFormat="false" ht="36" hidden="false" customHeight="true" outlineLevel="0" collapsed="false">
      <c r="A51" s="38" t="s">
        <v>182</v>
      </c>
      <c r="B51" s="61" t="s">
        <v>183</v>
      </c>
      <c r="C51" s="62" t="s">
        <v>130</v>
      </c>
      <c r="D51" s="63" t="s">
        <v>132</v>
      </c>
      <c r="E51" s="64" t="s">
        <v>184</v>
      </c>
      <c r="F51" s="43" t="s">
        <v>84</v>
      </c>
      <c r="G51" s="43" t="s">
        <v>84</v>
      </c>
      <c r="H51" s="50" t="s">
        <v>185</v>
      </c>
    </row>
    <row r="52" customFormat="false" ht="21" hidden="false" customHeight="true" outlineLevel="0" collapsed="false">
      <c r="A52" s="45" t="s">
        <v>186</v>
      </c>
      <c r="B52" s="65" t="n">
        <f aca="false">B50*(1+B51)</f>
        <v>0</v>
      </c>
      <c r="C52" s="66" t="n">
        <f aca="false">C50*(1+C51)</f>
        <v>0</v>
      </c>
      <c r="D52" s="67" t="n">
        <f aca="false">D50*(1+D51)</f>
        <v>332775</v>
      </c>
      <c r="E52" s="68" t="n">
        <f aca="false">E50*(1+E51)</f>
        <v>1842225</v>
      </c>
      <c r="F52" s="60" t="n">
        <f aca="false">C52-B52</f>
        <v>0</v>
      </c>
      <c r="G52" s="60" t="n">
        <f aca="false">E52-B52</f>
        <v>1842225</v>
      </c>
      <c r="H52" s="50" t="s">
        <v>187</v>
      </c>
    </row>
    <row r="53" customFormat="false" ht="36" hidden="false" customHeight="true" outlineLevel="0" collapsed="false">
      <c r="A53" s="38" t="s">
        <v>188</v>
      </c>
      <c r="B53" s="65" t="n">
        <f aca="false">B49*15</f>
        <v>0</v>
      </c>
      <c r="C53" s="66" t="n">
        <f aca="false">C49*20</f>
        <v>0</v>
      </c>
      <c r="D53" s="67" t="n">
        <f aca="false">D49*28</f>
        <v>2380</v>
      </c>
      <c r="E53" s="68" t="n">
        <f aca="false">E49*40</f>
        <v>15400</v>
      </c>
      <c r="F53" s="60" t="n">
        <f aca="false">C53-B53</f>
        <v>0</v>
      </c>
      <c r="G53" s="60" t="n">
        <f aca="false">E53-B53</f>
        <v>15400</v>
      </c>
      <c r="H53" s="50" t="s">
        <v>189</v>
      </c>
    </row>
    <row r="54" customFormat="false" ht="21" hidden="false" customHeight="true" outlineLevel="0" collapsed="false">
      <c r="A54" s="45" t="s">
        <v>190</v>
      </c>
      <c r="B54" s="65" t="n">
        <f aca="false">B52+B53</f>
        <v>0</v>
      </c>
      <c r="C54" s="66" t="n">
        <f aca="false">C52+C53</f>
        <v>0</v>
      </c>
      <c r="D54" s="67" t="n">
        <f aca="false">D52+D53</f>
        <v>335155</v>
      </c>
      <c r="E54" s="68" t="n">
        <f aca="false">E52+E53</f>
        <v>1857625</v>
      </c>
      <c r="F54" s="60" t="n">
        <f aca="false">C54-B54</f>
        <v>0</v>
      </c>
      <c r="G54" s="60" t="n">
        <f aca="false">E54-B54</f>
        <v>1857625</v>
      </c>
      <c r="H54" s="44"/>
    </row>
    <row r="55" customFormat="false" ht="21" hidden="false" customHeight="true" outlineLevel="0" collapsed="false">
      <c r="A55" s="38" t="s">
        <v>83</v>
      </c>
      <c r="B55" s="39"/>
      <c r="C55" s="40"/>
      <c r="D55" s="41"/>
      <c r="E55" s="42"/>
      <c r="F55" s="43" t="s">
        <v>84</v>
      </c>
      <c r="G55" s="43" t="s">
        <v>84</v>
      </c>
      <c r="H55" s="44"/>
    </row>
    <row r="56" customFormat="false" ht="21" hidden="false" customHeight="true" outlineLevel="0" collapsed="false">
      <c r="A56" s="45" t="s">
        <v>126</v>
      </c>
      <c r="B56" s="65" t="n">
        <f aca="false">B27</f>
        <v>0</v>
      </c>
      <c r="C56" s="66" t="n">
        <f aca="false">C27</f>
        <v>0</v>
      </c>
      <c r="D56" s="67" t="n">
        <f aca="false">D27</f>
        <v>0</v>
      </c>
      <c r="E56" s="68" t="n">
        <f aca="false">E27</f>
        <v>0</v>
      </c>
      <c r="F56" s="60" t="n">
        <f aca="false">C56-B56</f>
        <v>0</v>
      </c>
      <c r="G56" s="60" t="n">
        <f aca="false">E56-B56</f>
        <v>0</v>
      </c>
      <c r="H56" s="50" t="s">
        <v>191</v>
      </c>
    </row>
    <row r="57" customFormat="false" ht="21" hidden="false" customHeight="true" outlineLevel="0" collapsed="false">
      <c r="A57" s="38" t="s">
        <v>150</v>
      </c>
      <c r="B57" s="65" t="n">
        <f aca="false">B36</f>
        <v>354560.787</v>
      </c>
      <c r="C57" s="66" t="n">
        <f aca="false">C36</f>
        <v>432576.591</v>
      </c>
      <c r="D57" s="67" t="n">
        <f aca="false">D36</f>
        <v>560188.248</v>
      </c>
      <c r="E57" s="68" t="n">
        <f aca="false">E36</f>
        <v>716211.9365</v>
      </c>
      <c r="F57" s="60" t="n">
        <f aca="false">C57-B57</f>
        <v>78015.804</v>
      </c>
      <c r="G57" s="60" t="n">
        <f aca="false">E57-B57</f>
        <v>361651.1495</v>
      </c>
      <c r="H57" s="44"/>
    </row>
    <row r="58" customFormat="false" ht="21" hidden="false" customHeight="true" outlineLevel="0" collapsed="false">
      <c r="A58" s="45" t="s">
        <v>168</v>
      </c>
      <c r="B58" s="65" t="n">
        <f aca="false">B44</f>
        <v>0</v>
      </c>
      <c r="C58" s="66" t="n">
        <f aca="false">C44</f>
        <v>2553.792</v>
      </c>
      <c r="D58" s="67" t="n">
        <f aca="false">D44</f>
        <v>9363.904</v>
      </c>
      <c r="E58" s="68" t="n">
        <f aca="false">E44</f>
        <v>22984.128</v>
      </c>
      <c r="F58" s="60" t="n">
        <f aca="false">C58-B58</f>
        <v>2553.792</v>
      </c>
      <c r="G58" s="60" t="n">
        <f aca="false">E58-B58</f>
        <v>22984.128</v>
      </c>
      <c r="H58" s="50" t="s">
        <v>192</v>
      </c>
    </row>
    <row r="59" customFormat="false" ht="21" hidden="false" customHeight="true" outlineLevel="0" collapsed="false">
      <c r="A59" s="74" t="s">
        <v>193</v>
      </c>
      <c r="B59" s="75" t="n">
        <f aca="false">B56+B57+B58</f>
        <v>354560.787</v>
      </c>
      <c r="C59" s="76" t="n">
        <f aca="false">C56+C57+C58</f>
        <v>435130.383</v>
      </c>
      <c r="D59" s="77" t="n">
        <f aca="false">D56+D57+D58</f>
        <v>569552.152</v>
      </c>
      <c r="E59" s="78" t="n">
        <f aca="false">E56+E57+E58</f>
        <v>739196.0645</v>
      </c>
      <c r="F59" s="60" t="n">
        <f aca="false">C59-B59</f>
        <v>80569.596</v>
      </c>
      <c r="G59" s="60" t="n">
        <f aca="false">E59-B59</f>
        <v>384635.2775</v>
      </c>
      <c r="H59" s="44"/>
    </row>
    <row r="60" customFormat="false" ht="21" hidden="false" customHeight="true" outlineLevel="0" collapsed="false">
      <c r="A60" s="45" t="s">
        <v>194</v>
      </c>
      <c r="B60" s="65" t="n">
        <f aca="false">(B54)</f>
        <v>0</v>
      </c>
      <c r="C60" s="66" t="n">
        <f aca="false">(C54)</f>
        <v>0</v>
      </c>
      <c r="D60" s="67" t="n">
        <f aca="false">(D54)</f>
        <v>335155</v>
      </c>
      <c r="E60" s="68" t="n">
        <f aca="false">(E54)</f>
        <v>1857625</v>
      </c>
      <c r="F60" s="60" t="n">
        <f aca="false">C60-B60</f>
        <v>0</v>
      </c>
      <c r="G60" s="60" t="n">
        <f aca="false">E60-B60</f>
        <v>1857625</v>
      </c>
      <c r="H60" s="44"/>
    </row>
    <row r="61" customFormat="false" ht="36" hidden="false" customHeight="true" outlineLevel="0" collapsed="false">
      <c r="A61" s="79" t="s">
        <v>195</v>
      </c>
      <c r="B61" s="80" t="s">
        <v>84</v>
      </c>
      <c r="C61" s="81" t="n">
        <f aca="false">C59-B59-(C60-B60)</f>
        <v>80569.596</v>
      </c>
      <c r="D61" s="82" t="n">
        <f aca="false">D59-B59-(D60-B60)</f>
        <v>-120163.635</v>
      </c>
      <c r="E61" s="83" t="n">
        <f aca="false">E59-B59-(E60-B60)</f>
        <v>-1472989.7225</v>
      </c>
      <c r="F61" s="84" t="s">
        <v>84</v>
      </c>
      <c r="G61" s="84" t="s">
        <v>84</v>
      </c>
      <c r="H61" s="50" t="s">
        <v>196</v>
      </c>
    </row>
    <row r="62" customFormat="false" ht="36" hidden="false" customHeight="true" outlineLevel="0" collapsed="false">
      <c r="A62" s="45" t="s">
        <v>197</v>
      </c>
      <c r="B62" s="56" t="s">
        <v>84</v>
      </c>
      <c r="C62" s="57" t="n">
        <f aca="false">C61/Assumptions!B5</f>
        <v>161.139192</v>
      </c>
      <c r="D62" s="58" t="n">
        <f aca="false">D61/Assumptions!B5</f>
        <v>-240.32727</v>
      </c>
      <c r="E62" s="59" t="n">
        <f aca="false">E61/Assumptions!B5</f>
        <v>-2945.979445</v>
      </c>
      <c r="F62" s="84" t="s">
        <v>84</v>
      </c>
      <c r="G62" s="84" t="s">
        <v>84</v>
      </c>
      <c r="H62" s="50" t="s">
        <v>198</v>
      </c>
    </row>
    <row r="63" customFormat="false" ht="21" hidden="false" customHeight="true" outlineLevel="0" collapsed="false">
      <c r="A63" s="69" t="s">
        <v>83</v>
      </c>
      <c r="B63" s="70"/>
      <c r="C63" s="71"/>
      <c r="D63" s="72"/>
      <c r="E63" s="73"/>
      <c r="F63" s="43" t="s">
        <v>84</v>
      </c>
      <c r="G63" s="43" t="s">
        <v>84</v>
      </c>
      <c r="H63" s="44"/>
    </row>
    <row r="64" customFormat="false" ht="36" hidden="false" customHeight="true" outlineLevel="0" collapsed="false">
      <c r="A64" s="45" t="s">
        <v>199</v>
      </c>
      <c r="B64" s="46" t="n">
        <f aca="false">Assumptions!B5-B30+B38+B14</f>
        <v>219443.884</v>
      </c>
      <c r="C64" s="47" t="n">
        <f aca="false">Assumptions!B5-C30+C38+C14</f>
        <v>214275</v>
      </c>
      <c r="D64" s="48" t="n">
        <f aca="false">Assumptions!B5-D30+D38+D14</f>
        <v>157856.5</v>
      </c>
      <c r="E64" s="49" t="n">
        <f aca="false">Assumptions!B5-E30+E38+E14</f>
        <v>83528</v>
      </c>
      <c r="F64" s="43" t="s">
        <v>84</v>
      </c>
      <c r="G64" s="43" t="s">
        <v>84</v>
      </c>
      <c r="H64" s="50" t="s">
        <v>200</v>
      </c>
    </row>
    <row r="65" customFormat="false" ht="36" hidden="false" customHeight="true" outlineLevel="0" collapsed="false">
      <c r="A65" s="38" t="s">
        <v>201</v>
      </c>
      <c r="B65" s="46" t="s">
        <v>202</v>
      </c>
      <c r="C65" s="47" t="s">
        <v>202</v>
      </c>
      <c r="D65" s="48" t="s">
        <v>203</v>
      </c>
      <c r="E65" s="49" t="s">
        <v>204</v>
      </c>
      <c r="F65" s="43" t="s">
        <v>84</v>
      </c>
      <c r="G65" s="43" t="s">
        <v>84</v>
      </c>
      <c r="H65" s="50" t="s">
        <v>205</v>
      </c>
    </row>
    <row r="66" customFormat="false" ht="36" hidden="false" customHeight="true" outlineLevel="0" collapsed="false">
      <c r="A66" s="45" t="s">
        <v>206</v>
      </c>
      <c r="B66" s="51" t="n">
        <f aca="false">B64*Assumptions!B13*B65</f>
        <v>362082.4086</v>
      </c>
      <c r="C66" s="52" t="n">
        <f aca="false">C64*Assumptions!B13*C65</f>
        <v>353553.75</v>
      </c>
      <c r="D66" s="53" t="n">
        <f aca="false">D64*Assumptions!B13*D65</f>
        <v>284141.7</v>
      </c>
      <c r="E66" s="54" t="n">
        <f aca="false">E64*Assumptions!B13*E65</f>
        <v>162879.6</v>
      </c>
      <c r="F66" s="43" t="s">
        <v>84</v>
      </c>
      <c r="G66" s="43" t="s">
        <v>84</v>
      </c>
      <c r="H66" s="50" t="s">
        <v>207</v>
      </c>
    </row>
    <row r="67" customFormat="false" ht="36" hidden="false" customHeight="true" outlineLevel="0" collapsed="false">
      <c r="A67" s="38" t="s">
        <v>208</v>
      </c>
      <c r="B67" s="51" t="n">
        <f aca="false">MAX(0,Assumptions!B12-B49)*1</f>
        <v>515</v>
      </c>
      <c r="C67" s="52" t="n">
        <f aca="false">MAX(0,Assumptions!B12-C49)*0.85</f>
        <v>437.75</v>
      </c>
      <c r="D67" s="53" t="n">
        <f aca="false">MAX(0,Assumptions!B12-D49)*0.6</f>
        <v>258</v>
      </c>
      <c r="E67" s="54" t="n">
        <f aca="false">MAX(0,Assumptions!B12-E49)*0.3</f>
        <v>39</v>
      </c>
      <c r="F67" s="43" t="s">
        <v>84</v>
      </c>
      <c r="G67" s="43" t="s">
        <v>84</v>
      </c>
      <c r="H67" s="50" t="s">
        <v>209</v>
      </c>
    </row>
    <row r="68" customFormat="false" ht="36" hidden="false" customHeight="true" outlineLevel="0" collapsed="false">
      <c r="A68" s="45" t="s">
        <v>210</v>
      </c>
      <c r="B68" s="51" t="n">
        <f aca="false">MAX(0,B66-B67)</f>
        <v>361567.4086</v>
      </c>
      <c r="C68" s="52" t="n">
        <f aca="false">MAX(0,C66-C67)</f>
        <v>353116</v>
      </c>
      <c r="D68" s="53" t="n">
        <f aca="false">MAX(0,D66-D67)</f>
        <v>283883.7</v>
      </c>
      <c r="E68" s="54" t="n">
        <f aca="false">MAX(0,E66-E67)</f>
        <v>162840.6</v>
      </c>
      <c r="F68" s="43" t="s">
        <v>84</v>
      </c>
      <c r="G68" s="43" t="s">
        <v>84</v>
      </c>
      <c r="H68" s="50" t="s">
        <v>211</v>
      </c>
    </row>
    <row r="69" customFormat="false" ht="36" hidden="false" customHeight="true" outlineLevel="0" collapsed="false">
      <c r="A69" s="38" t="s">
        <v>212</v>
      </c>
      <c r="B69" s="65" t="n">
        <f aca="false">B68*Assumptions!B27*(1+B51)</f>
        <v>1048545484.94</v>
      </c>
      <c r="C69" s="66" t="n">
        <f aca="false">C68*Assumptions!B27*(1+C51)</f>
        <v>1177641860</v>
      </c>
      <c r="D69" s="67" t="n">
        <f aca="false">D68*Assumptions!B27*(1+D51)</f>
        <v>1111404685.5</v>
      </c>
      <c r="E69" s="68" t="n">
        <f aca="false">E68*Assumptions!B27*(1+E51)</f>
        <v>779192271</v>
      </c>
      <c r="F69" s="60" t="n">
        <f aca="false">C69-B69</f>
        <v>129096375.06</v>
      </c>
      <c r="G69" s="60" t="n">
        <f aca="false">E69-B69</f>
        <v>-269353213.94</v>
      </c>
      <c r="H69" s="50" t="s">
        <v>213</v>
      </c>
    </row>
    <row r="70" customFormat="false" ht="18" hidden="false" customHeight="true" outlineLevel="0" collapsed="false"/>
    <row r="71" customFormat="false" ht="18" hidden="false" customHeight="true" outlineLevel="0" collapsed="false"/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C7A3E"/>
    <pageSetUpPr fitToPage="false"/>
  </sheetPr>
  <dimension ref="A1:I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16"/>
    <col collapsed="false" customWidth="true" hidden="false" outlineLevel="0" max="7" min="6" style="1" width="18"/>
    <col collapsed="false" customWidth="true" hidden="false" outlineLevel="0" max="8" min="8" style="1" width="14"/>
  </cols>
  <sheetData>
    <row r="1" customFormat="false" ht="36" hidden="false" customHeight="true" outlineLevel="0" collapsed="false">
      <c r="A1" s="85" t="s">
        <v>214</v>
      </c>
      <c r="B1" s="85"/>
      <c r="C1" s="85"/>
      <c r="D1" s="85"/>
      <c r="E1" s="85"/>
      <c r="F1" s="85"/>
      <c r="G1" s="85"/>
      <c r="H1" s="85"/>
      <c r="I1" s="85"/>
    </row>
    <row r="2" customFormat="false" ht="96" hidden="false" customHeight="true" outlineLevel="0" collapsed="false">
      <c r="A2" s="3" t="s">
        <v>215</v>
      </c>
      <c r="B2" s="3"/>
      <c r="C2" s="3"/>
      <c r="D2" s="3"/>
      <c r="E2" s="3"/>
      <c r="F2" s="3"/>
      <c r="G2" s="3"/>
      <c r="H2" s="3"/>
      <c r="I2" s="3"/>
    </row>
    <row r="3" customFormat="false" ht="66" hidden="false" customHeight="true" outlineLevel="0" collapsed="false">
      <c r="A3" s="86" t="s">
        <v>216</v>
      </c>
      <c r="B3" s="86" t="s">
        <v>217</v>
      </c>
      <c r="C3" s="86" t="s">
        <v>218</v>
      </c>
      <c r="D3" s="86" t="s">
        <v>219</v>
      </c>
      <c r="E3" s="86" t="s">
        <v>220</v>
      </c>
      <c r="F3" s="87" t="s">
        <v>221</v>
      </c>
      <c r="G3" s="87" t="s">
        <v>222</v>
      </c>
    </row>
    <row r="4" customFormat="false" ht="21" hidden="false" customHeight="true" outlineLevel="0" collapsed="false">
      <c r="A4" s="88" t="s">
        <v>83</v>
      </c>
      <c r="B4" s="39"/>
      <c r="C4" s="40"/>
      <c r="D4" s="41"/>
      <c r="E4" s="42"/>
      <c r="F4" s="89"/>
      <c r="G4" s="90"/>
    </row>
    <row r="5" customFormat="false" ht="36" hidden="false" customHeight="true" outlineLevel="0" collapsed="false">
      <c r="A5" s="74" t="s">
        <v>223</v>
      </c>
      <c r="B5" s="56" t="n">
        <f aca="false">Assumptions!B17</f>
        <v>0</v>
      </c>
      <c r="C5" s="57" t="n">
        <f aca="false">Assumptions!B17*0.95</f>
        <v>0</v>
      </c>
      <c r="D5" s="58" t="n">
        <f aca="false">Assumptions!B17*0.88</f>
        <v>0</v>
      </c>
      <c r="E5" s="59" t="n">
        <f aca="false">Assumptions!B17*0.8</f>
        <v>0</v>
      </c>
      <c r="F5" s="50" t="s">
        <v>224</v>
      </c>
      <c r="G5" s="91" t="s">
        <v>225</v>
      </c>
    </row>
    <row r="6" customFormat="false" ht="36" hidden="false" customHeight="true" outlineLevel="0" collapsed="false">
      <c r="A6" s="88" t="s">
        <v>226</v>
      </c>
      <c r="B6" s="56" t="n">
        <f aca="false">Assumptions!B18</f>
        <v>0</v>
      </c>
      <c r="C6" s="57" t="n">
        <f aca="false">Assumptions!B18*0.95</f>
        <v>0</v>
      </c>
      <c r="D6" s="58" t="n">
        <f aca="false">Assumptions!B18*0.88</f>
        <v>0</v>
      </c>
      <c r="E6" s="59" t="n">
        <f aca="false">Assumptions!B18*0.8</f>
        <v>0</v>
      </c>
      <c r="F6" s="50" t="s">
        <v>227</v>
      </c>
      <c r="G6" s="91" t="s">
        <v>228</v>
      </c>
    </row>
    <row r="7" customFormat="false" ht="36" hidden="false" customHeight="true" outlineLevel="0" collapsed="false">
      <c r="A7" s="74" t="s">
        <v>229</v>
      </c>
      <c r="B7" s="56" t="n">
        <f aca="false">Assumptions!B19</f>
        <v>498.52</v>
      </c>
      <c r="C7" s="57" t="n">
        <f aca="false">Assumptions!B19*0.94</f>
        <v>468.6088</v>
      </c>
      <c r="D7" s="58" t="n">
        <f aca="false">Assumptions!B19*0.87</f>
        <v>433.7124</v>
      </c>
      <c r="E7" s="59" t="n">
        <f aca="false">Assumptions!B19*0.78</f>
        <v>388.8456</v>
      </c>
      <c r="F7" s="50" t="s">
        <v>230</v>
      </c>
      <c r="G7" s="91" t="s">
        <v>231</v>
      </c>
    </row>
    <row r="8" customFormat="false" ht="21" hidden="false" customHeight="true" outlineLevel="0" collapsed="false">
      <c r="A8" s="88" t="s">
        <v>83</v>
      </c>
      <c r="B8" s="39"/>
      <c r="C8" s="40"/>
      <c r="D8" s="41"/>
      <c r="E8" s="42"/>
      <c r="F8" s="89"/>
      <c r="G8" s="90"/>
    </row>
    <row r="9" customFormat="false" ht="36" hidden="false" customHeight="true" outlineLevel="0" collapsed="false">
      <c r="A9" s="74" t="s">
        <v>232</v>
      </c>
      <c r="B9" s="56" t="n">
        <f aca="false">B5/100*Assumptions!B9</f>
        <v>0</v>
      </c>
      <c r="C9" s="57" t="n">
        <f aca="false">C5/100*(Assumptions!B9*0.97)</f>
        <v>0</v>
      </c>
      <c r="D9" s="58" t="n">
        <f aca="false">D5/100*(Assumptions!B9*0.93)</f>
        <v>0</v>
      </c>
      <c r="E9" s="59" t="n">
        <f aca="false">E5/100*(Assumptions!B9*0.87)</f>
        <v>0</v>
      </c>
      <c r="F9" s="50" t="s">
        <v>233</v>
      </c>
      <c r="G9" s="90"/>
    </row>
    <row r="10" customFormat="false" ht="36" hidden="false" customHeight="true" outlineLevel="0" collapsed="false">
      <c r="A10" s="88" t="s">
        <v>234</v>
      </c>
      <c r="B10" s="56" t="n">
        <f aca="false">B6/100*Assumptions!B9</f>
        <v>0</v>
      </c>
      <c r="C10" s="57" t="n">
        <f aca="false">C6/100*(Assumptions!B9*0.97)</f>
        <v>0</v>
      </c>
      <c r="D10" s="58" t="n">
        <f aca="false">D6/100*(Assumptions!B9*0.93)</f>
        <v>0</v>
      </c>
      <c r="E10" s="59" t="n">
        <f aca="false">E6/100*(Assumptions!B9*0.87)</f>
        <v>0</v>
      </c>
      <c r="F10" s="50" t="s">
        <v>235</v>
      </c>
      <c r="G10" s="91" t="s">
        <v>236</v>
      </c>
    </row>
    <row r="11" customFormat="false" ht="21" hidden="false" customHeight="true" outlineLevel="0" collapsed="false">
      <c r="A11" s="74" t="s">
        <v>83</v>
      </c>
      <c r="B11" s="39"/>
      <c r="C11" s="40"/>
      <c r="D11" s="41"/>
      <c r="E11" s="42"/>
      <c r="F11" s="89"/>
      <c r="G11" s="90"/>
    </row>
    <row r="12" customFormat="false" ht="36" hidden="false" customHeight="true" outlineLevel="0" collapsed="false">
      <c r="A12" s="88" t="s">
        <v>237</v>
      </c>
      <c r="B12" s="56" t="n">
        <f aca="false">Assumptions!B20</f>
        <v>474.47</v>
      </c>
      <c r="C12" s="57" t="n">
        <f aca="false">Assumptions!B20*0.94</f>
        <v>446.0018</v>
      </c>
      <c r="D12" s="58" t="n">
        <f aca="false">Assumptions!B20*0.85</f>
        <v>403.2995</v>
      </c>
      <c r="E12" s="59" t="n">
        <f aca="false">Assumptions!B20*0.75</f>
        <v>355.8525</v>
      </c>
      <c r="F12" s="50" t="s">
        <v>238</v>
      </c>
      <c r="G12" s="91" t="s">
        <v>239</v>
      </c>
    </row>
    <row r="13" customFormat="false" ht="36" hidden="false" customHeight="true" outlineLevel="0" collapsed="false">
      <c r="A13" s="74" t="s">
        <v>240</v>
      </c>
      <c r="B13" s="56" t="n">
        <f aca="false">Assumptions!B21</f>
        <v>413.18</v>
      </c>
      <c r="C13" s="57" t="n">
        <f aca="false">Assumptions!B21*0.94</f>
        <v>388.3892</v>
      </c>
      <c r="D13" s="58" t="n">
        <f aca="false">Assumptions!B21*0.85</f>
        <v>351.203</v>
      </c>
      <c r="E13" s="59" t="n">
        <f aca="false">Assumptions!B21*0.75</f>
        <v>309.885</v>
      </c>
      <c r="F13" s="50" t="s">
        <v>241</v>
      </c>
      <c r="G13" s="91" t="s">
        <v>242</v>
      </c>
    </row>
    <row r="14" customFormat="false" ht="21" hidden="false" customHeight="true" outlineLevel="0" collapsed="false">
      <c r="A14" s="88" t="s">
        <v>83</v>
      </c>
      <c r="B14" s="39"/>
      <c r="C14" s="40"/>
      <c r="D14" s="41"/>
      <c r="E14" s="42"/>
      <c r="F14" s="89"/>
      <c r="G14" s="90"/>
    </row>
    <row r="15" customFormat="false" ht="51" hidden="false" customHeight="true" outlineLevel="0" collapsed="false">
      <c r="A15" s="74" t="s">
        <v>243</v>
      </c>
      <c r="B15" s="38" t="s">
        <v>244</v>
      </c>
      <c r="C15" s="92" t="s">
        <v>245</v>
      </c>
      <c r="D15" s="93" t="s">
        <v>246</v>
      </c>
      <c r="E15" s="94" t="s">
        <v>247</v>
      </c>
      <c r="F15" s="50" t="s">
        <v>248</v>
      </c>
      <c r="G15" s="90"/>
    </row>
    <row r="16" customFormat="false" ht="51.75" hidden="false" customHeight="true" outlineLevel="0" collapsed="false">
      <c r="A16" s="8" t="s">
        <v>249</v>
      </c>
      <c r="B16" s="95" t="s">
        <v>250</v>
      </c>
      <c r="C16" s="96" t="s">
        <v>251</v>
      </c>
      <c r="D16" s="97" t="s">
        <v>252</v>
      </c>
      <c r="E16" s="98" t="s">
        <v>253</v>
      </c>
      <c r="F16" s="99" t="s">
        <v>254</v>
      </c>
      <c r="G16" s="90"/>
    </row>
    <row r="17" customFormat="false" ht="66" hidden="false" customHeight="true" outlineLevel="0" collapsed="false">
      <c r="A17" s="74" t="s">
        <v>255</v>
      </c>
      <c r="B17" s="38" t="s">
        <v>256</v>
      </c>
      <c r="C17" s="92" t="s">
        <v>257</v>
      </c>
      <c r="D17" s="93" t="s">
        <v>258</v>
      </c>
      <c r="E17" s="94" t="s">
        <v>259</v>
      </c>
      <c r="F17" s="50" t="s">
        <v>260</v>
      </c>
      <c r="G17" s="90"/>
    </row>
    <row r="18" customFormat="false" ht="36" hidden="false" customHeight="true" outlineLevel="0" collapsed="false">
      <c r="A18" s="88" t="s">
        <v>261</v>
      </c>
      <c r="B18" s="46" t="s">
        <v>155</v>
      </c>
      <c r="C18" s="47" t="s">
        <v>262</v>
      </c>
      <c r="D18" s="48" t="s">
        <v>263</v>
      </c>
      <c r="E18" s="49" t="s">
        <v>163</v>
      </c>
      <c r="F18" s="50" t="s">
        <v>264</v>
      </c>
      <c r="G18" s="90"/>
    </row>
    <row r="19" customFormat="false" ht="36" hidden="false" customHeight="true" outlineLevel="0" collapsed="false">
      <c r="A19" s="74" t="s">
        <v>265</v>
      </c>
      <c r="B19" s="46" t="s">
        <v>266</v>
      </c>
      <c r="C19" s="47" t="s">
        <v>267</v>
      </c>
      <c r="D19" s="48" t="s">
        <v>268</v>
      </c>
      <c r="E19" s="49" t="s">
        <v>269</v>
      </c>
      <c r="F19" s="50" t="s">
        <v>270</v>
      </c>
      <c r="G19" s="91" t="s">
        <v>271</v>
      </c>
    </row>
    <row r="20" customFormat="false" ht="18" hidden="false" customHeight="true" outlineLevel="0" collapsed="false"/>
    <row r="21" customFormat="false" ht="24" hidden="false" customHeight="true" outlineLevel="0" collapsed="false">
      <c r="A21" s="100" t="s">
        <v>272</v>
      </c>
      <c r="B21" s="100"/>
      <c r="C21" s="100"/>
      <c r="D21" s="100"/>
      <c r="E21" s="100"/>
      <c r="F21" s="100"/>
      <c r="G21" s="100"/>
    </row>
    <row r="22" customFormat="false" ht="36" hidden="false" customHeight="true" outlineLevel="0" collapsed="false">
      <c r="A22" s="101" t="s">
        <v>273</v>
      </c>
      <c r="B22" s="101"/>
      <c r="C22" s="101"/>
      <c r="D22" s="101"/>
      <c r="E22" s="101"/>
      <c r="F22" s="101"/>
      <c r="G22" s="101"/>
    </row>
    <row r="23" customFormat="false" ht="43.5" hidden="false" customHeight="true" outlineLevel="0" collapsed="false">
      <c r="A23" s="102" t="s">
        <v>274</v>
      </c>
      <c r="B23" s="102" t="s">
        <v>275</v>
      </c>
      <c r="C23" s="102" t="s">
        <v>276</v>
      </c>
      <c r="D23" s="102" t="s">
        <v>277</v>
      </c>
      <c r="E23" s="102" t="s">
        <v>278</v>
      </c>
      <c r="F23" s="102" t="s">
        <v>279</v>
      </c>
      <c r="G23" s="102" t="s">
        <v>280</v>
      </c>
    </row>
    <row r="24" customFormat="false" ht="18" hidden="false" customHeight="true" outlineLevel="0" collapsed="false">
      <c r="A24" s="103" t="s">
        <v>281</v>
      </c>
      <c r="B24" s="103"/>
      <c r="C24" s="103"/>
      <c r="D24" s="103"/>
      <c r="E24" s="103"/>
      <c r="F24" s="103"/>
      <c r="G24" s="103"/>
    </row>
    <row r="25" customFormat="false" ht="21.75" hidden="false" customHeight="true" outlineLevel="0" collapsed="false">
      <c r="A25" s="8" t="s">
        <v>282</v>
      </c>
      <c r="B25" s="29" t="n">
        <f aca="false">Assumptions!B18</f>
        <v>0</v>
      </c>
      <c r="C25" s="104" t="s">
        <v>283</v>
      </c>
      <c r="D25" s="104"/>
      <c r="E25" s="104"/>
      <c r="F25" s="104"/>
      <c r="G25" s="104" t="s">
        <v>284</v>
      </c>
    </row>
    <row r="26" customFormat="false" ht="21.75" hidden="false" customHeight="true" outlineLevel="0" collapsed="false">
      <c r="A26" s="8" t="s">
        <v>52</v>
      </c>
      <c r="B26" s="105" t="n">
        <v>0.025</v>
      </c>
      <c r="C26" s="104" t="s">
        <v>285</v>
      </c>
      <c r="D26" s="104"/>
      <c r="E26" s="104"/>
      <c r="F26" s="104"/>
      <c r="G26" s="104" t="s">
        <v>286</v>
      </c>
    </row>
    <row r="27" customFormat="false" ht="21.75" hidden="false" customHeight="true" outlineLevel="0" collapsed="false">
      <c r="A27" s="8" t="s">
        <v>287</v>
      </c>
      <c r="B27" s="105" t="n">
        <v>0.02</v>
      </c>
      <c r="C27" s="104" t="s">
        <v>288</v>
      </c>
      <c r="D27" s="104"/>
      <c r="E27" s="104"/>
      <c r="F27" s="104"/>
      <c r="G27" s="104" t="s">
        <v>289</v>
      </c>
    </row>
    <row r="28" customFormat="false" ht="43.5" hidden="false" customHeight="true" outlineLevel="0" collapsed="false">
      <c r="A28" s="8" t="s">
        <v>290</v>
      </c>
      <c r="B28" s="106" t="n">
        <v>-5</v>
      </c>
      <c r="C28" s="104" t="s">
        <v>291</v>
      </c>
      <c r="D28" s="104"/>
      <c r="E28" s="104"/>
      <c r="F28" s="104"/>
      <c r="G28" s="104" t="s">
        <v>292</v>
      </c>
    </row>
    <row r="29" customFormat="false" ht="36" hidden="false" customHeight="true" outlineLevel="0" collapsed="false">
      <c r="A29" s="8" t="s">
        <v>68</v>
      </c>
      <c r="B29" s="107" t="n">
        <v>0.02</v>
      </c>
      <c r="C29" s="104" t="s">
        <v>293</v>
      </c>
      <c r="D29" s="104"/>
      <c r="E29" s="104"/>
      <c r="F29" s="104"/>
      <c r="G29" s="104"/>
    </row>
    <row r="30" customFormat="false" ht="51.75" hidden="false" customHeight="true" outlineLevel="0" collapsed="false">
      <c r="A30" s="8" t="s">
        <v>294</v>
      </c>
      <c r="B30" s="107" t="n">
        <v>0</v>
      </c>
      <c r="C30" s="104" t="s">
        <v>295</v>
      </c>
      <c r="D30" s="104"/>
      <c r="E30" s="104"/>
      <c r="F30" s="104"/>
      <c r="G30" s="104"/>
    </row>
    <row r="31" customFormat="false" ht="30" hidden="false" customHeight="true" outlineLevel="0" collapsed="false">
      <c r="A31" s="8" t="s">
        <v>296</v>
      </c>
      <c r="B31" s="28" t="n">
        <v>0.85</v>
      </c>
      <c r="C31" s="104" t="s">
        <v>297</v>
      </c>
      <c r="D31" s="104"/>
      <c r="E31" s="104"/>
      <c r="F31" s="104"/>
      <c r="G31" s="104"/>
    </row>
    <row r="32" customFormat="false" ht="60" hidden="false" customHeight="true" outlineLevel="0" collapsed="false">
      <c r="A32" s="8" t="s">
        <v>298</v>
      </c>
      <c r="B32" s="108" t="n">
        <v>15</v>
      </c>
      <c r="C32" s="104" t="s">
        <v>299</v>
      </c>
      <c r="D32" s="104"/>
      <c r="E32" s="104"/>
      <c r="F32" s="104"/>
      <c r="G32" s="104"/>
    </row>
    <row r="33" customFormat="false" ht="36" hidden="false" customHeight="true" outlineLevel="0" collapsed="false">
      <c r="A33" s="8" t="s">
        <v>300</v>
      </c>
      <c r="B33" s="109" t="n">
        <v>600</v>
      </c>
      <c r="C33" s="104" t="s">
        <v>301</v>
      </c>
      <c r="D33" s="104"/>
      <c r="E33" s="104"/>
      <c r="F33" s="104"/>
      <c r="G33" s="104"/>
    </row>
    <row r="34" customFormat="false" ht="39.75" hidden="false" customHeight="true" outlineLevel="0" collapsed="false">
      <c r="A34" s="8" t="s">
        <v>302</v>
      </c>
      <c r="B34" s="109" t="n">
        <v>600</v>
      </c>
      <c r="C34" s="104" t="s">
        <v>303</v>
      </c>
      <c r="D34" s="104"/>
      <c r="E34" s="104"/>
      <c r="F34" s="104"/>
      <c r="G34" s="104"/>
    </row>
    <row r="35" customFormat="false" ht="30" hidden="false" customHeight="true" outlineLevel="0" collapsed="false">
      <c r="A35" s="8" t="s">
        <v>304</v>
      </c>
      <c r="B35" s="108" t="n">
        <v>10</v>
      </c>
      <c r="C35" s="110" t="s">
        <v>305</v>
      </c>
      <c r="D35" s="110"/>
      <c r="E35" s="110"/>
      <c r="F35" s="110"/>
      <c r="G35" s="110"/>
    </row>
    <row r="36" customFormat="false" ht="21.75" hidden="false" customHeight="true" outlineLevel="0" collapsed="false">
      <c r="A36" s="8" t="s">
        <v>306</v>
      </c>
      <c r="B36" s="107" t="n">
        <v>0.025</v>
      </c>
      <c r="C36" s="110" t="s">
        <v>307</v>
      </c>
      <c r="D36" s="110"/>
      <c r="E36" s="110"/>
      <c r="F36" s="110"/>
      <c r="G36" s="110"/>
    </row>
    <row r="37" customFormat="false" ht="21.75" hidden="false" customHeight="true" outlineLevel="0" collapsed="false">
      <c r="A37" s="102" t="s">
        <v>308</v>
      </c>
      <c r="B37" s="102"/>
      <c r="C37" s="102"/>
      <c r="D37" s="102"/>
      <c r="E37" s="102"/>
      <c r="F37" s="102"/>
      <c r="G37" s="102"/>
    </row>
    <row r="38" customFormat="false" ht="21.75" hidden="false" customHeight="true" outlineLevel="0" collapsed="false">
      <c r="A38" s="30" t="s">
        <v>309</v>
      </c>
      <c r="B38" s="111" t="n">
        <f aca="false">B25</f>
        <v>0</v>
      </c>
      <c r="C38" s="112" t="n">
        <f aca="false">B25+B28</f>
        <v>-5</v>
      </c>
      <c r="D38" s="113" t="n">
        <f aca="false">B25+B35</f>
        <v>10</v>
      </c>
      <c r="E38" s="114" t="s">
        <v>310</v>
      </c>
      <c r="F38" s="114"/>
      <c r="G38" s="114"/>
    </row>
    <row r="39" customFormat="false" ht="21.75" hidden="false" customHeight="true" outlineLevel="0" collapsed="false">
      <c r="A39" s="30" t="s">
        <v>311</v>
      </c>
      <c r="B39" s="111" t="n">
        <f aca="false">-B38*B26</f>
        <v>-0</v>
      </c>
      <c r="C39" s="112" t="n">
        <f aca="false">0</f>
        <v>0</v>
      </c>
      <c r="D39" s="113" t="n">
        <f aca="false">-D38*B36</f>
        <v>-0.25</v>
      </c>
      <c r="E39" s="115" t="s">
        <v>312</v>
      </c>
      <c r="F39" s="115"/>
      <c r="G39" s="115"/>
    </row>
    <row r="40" customFormat="false" ht="21.75" hidden="false" customHeight="true" outlineLevel="0" collapsed="false">
      <c r="A40" s="30" t="s">
        <v>313</v>
      </c>
      <c r="B40" s="111" t="n">
        <f aca="false">-B25*B27</f>
        <v>-0</v>
      </c>
      <c r="C40" s="112" t="n">
        <f aca="false">0</f>
        <v>0</v>
      </c>
      <c r="D40" s="113" t="n">
        <f aca="false">0</f>
        <v>0</v>
      </c>
      <c r="E40" s="114" t="s">
        <v>314</v>
      </c>
      <c r="F40" s="114"/>
      <c r="G40" s="114"/>
    </row>
    <row r="41" customFormat="false" ht="21.75" hidden="false" customHeight="true" outlineLevel="0" collapsed="false">
      <c r="A41" s="30" t="s">
        <v>315</v>
      </c>
      <c r="B41" s="111" t="n">
        <f aca="false">0</f>
        <v>0</v>
      </c>
      <c r="C41" s="112" t="n">
        <f aca="false">-C38*B29</f>
        <v>0.1</v>
      </c>
      <c r="D41" s="113" t="n">
        <f aca="false">0</f>
        <v>0</v>
      </c>
      <c r="E41" s="115" t="s">
        <v>316</v>
      </c>
      <c r="F41" s="115"/>
      <c r="G41" s="115"/>
    </row>
    <row r="42" customFormat="false" ht="27.75" hidden="false" customHeight="true" outlineLevel="0" collapsed="false">
      <c r="A42" s="30" t="s">
        <v>317</v>
      </c>
      <c r="B42" s="111" t="n">
        <f aca="false">0</f>
        <v>0</v>
      </c>
      <c r="C42" s="112" t="n">
        <f aca="false">-C38*B30*(1-B31)</f>
        <v>0</v>
      </c>
      <c r="D42" s="113" t="n">
        <f aca="false">0</f>
        <v>0</v>
      </c>
      <c r="E42" s="115" t="s">
        <v>318</v>
      </c>
      <c r="F42" s="115"/>
      <c r="G42" s="115"/>
    </row>
    <row r="43" customFormat="false" ht="43.5" hidden="false" customHeight="true" outlineLevel="0" collapsed="false">
      <c r="A43" s="94" t="s">
        <v>319</v>
      </c>
      <c r="B43" s="111" t="n">
        <f aca="false">0</f>
        <v>0</v>
      </c>
      <c r="C43" s="112" t="n">
        <f aca="false">MIN(0,-(B34-B33)/100*B32)</f>
        <v>-0</v>
      </c>
      <c r="D43" s="113" t="n">
        <f aca="false">MIN(0,-(B34-B33)/100*B32)</f>
        <v>-0</v>
      </c>
      <c r="E43" s="104" t="s">
        <v>320</v>
      </c>
      <c r="F43" s="104"/>
      <c r="G43" s="104"/>
    </row>
    <row r="44" customFormat="false" ht="25.5" hidden="false" customHeight="true" outlineLevel="0" collapsed="false">
      <c r="A44" s="116" t="s">
        <v>321</v>
      </c>
      <c r="B44" s="117" t="n">
        <f aca="false">B38+B39+B40+B41+B42+B43</f>
        <v>0</v>
      </c>
      <c r="C44" s="118" t="n">
        <f aca="false">C38+C39+C40+C41+C42+C43</f>
        <v>-4.9</v>
      </c>
      <c r="D44" s="119" t="n">
        <f aca="false">D38+D39+D40+D41+D42+D43</f>
        <v>9.75</v>
      </c>
      <c r="E44" s="120" t="n">
        <f aca="false">C44-B44</f>
        <v>-4.9</v>
      </c>
      <c r="F44" s="121" t="n">
        <f aca="false">D44-B44</f>
        <v>9.75</v>
      </c>
      <c r="G44" s="104" t="s">
        <v>322</v>
      </c>
    </row>
    <row r="45" customFormat="false" ht="21.75" hidden="false" customHeight="true" outlineLevel="0" collapsed="false">
      <c r="A45" s="116" t="s">
        <v>323</v>
      </c>
      <c r="B45" s="122" t="n">
        <f aca="false">B44/100*B34</f>
        <v>0</v>
      </c>
      <c r="C45" s="123" t="n">
        <f aca="false">C44/100*B34</f>
        <v>-29.4</v>
      </c>
      <c r="D45" s="124" t="n">
        <f aca="false">D44/100*B34</f>
        <v>58.5</v>
      </c>
      <c r="E45" s="125" t="n">
        <f aca="false">C45-B45</f>
        <v>-29.4</v>
      </c>
      <c r="F45" s="126" t="n">
        <f aca="false">D45-B45</f>
        <v>58.5</v>
      </c>
      <c r="G45" s="104" t="s">
        <v>324</v>
      </c>
    </row>
    <row r="46" customFormat="false" ht="21.75" hidden="false" customHeight="true" outlineLevel="0" collapsed="false">
      <c r="A46" s="116" t="s">
        <v>325</v>
      </c>
      <c r="B46" s="122" t="n">
        <f aca="false">B45*100</f>
        <v>0</v>
      </c>
      <c r="C46" s="123" t="n">
        <f aca="false">C45*100</f>
        <v>-2940</v>
      </c>
      <c r="D46" s="124" t="n">
        <f aca="false">D45*100</f>
        <v>5850</v>
      </c>
      <c r="E46" s="125" t="n">
        <f aca="false">C46-B46</f>
        <v>-2940</v>
      </c>
      <c r="F46" s="126" t="n">
        <f aca="false">D46-B46</f>
        <v>5850</v>
      </c>
      <c r="G46" s="104" t="s">
        <v>326</v>
      </c>
    </row>
    <row r="47" customFormat="false" ht="51.75" hidden="false" customHeight="true" outlineLevel="0" collapsed="false">
      <c r="A47" s="8"/>
      <c r="B47" s="127"/>
      <c r="C47" s="128"/>
      <c r="D47" s="129"/>
      <c r="E47" s="104"/>
      <c r="G47" s="104"/>
    </row>
    <row r="48" customFormat="false" ht="51.75" hidden="false" customHeight="true" outlineLevel="0" collapsed="false">
      <c r="A48" s="130"/>
    </row>
    <row r="49" customFormat="false" ht="51.75" hidden="false" customHeight="true" outlineLevel="0" collapsed="false">
      <c r="A49" s="8"/>
      <c r="B49" s="127"/>
      <c r="C49" s="128"/>
      <c r="D49" s="129"/>
      <c r="E49" s="104"/>
      <c r="G49" s="104"/>
    </row>
    <row r="50" customFormat="false" ht="51.75" hidden="false" customHeight="true" outlineLevel="0" collapsed="false">
      <c r="A50" s="131" t="s">
        <v>327</v>
      </c>
    </row>
    <row r="51" customFormat="false" ht="42.75" hidden="false" customHeight="true" outlineLevel="0" collapsed="false">
      <c r="A51" s="116" t="s">
        <v>328</v>
      </c>
      <c r="B51" s="132" t="s">
        <v>329</v>
      </c>
      <c r="C51" s="132" t="s">
        <v>330</v>
      </c>
      <c r="D51" s="132" t="s">
        <v>331</v>
      </c>
      <c r="E51" s="133" t="s">
        <v>332</v>
      </c>
    </row>
    <row r="52" customFormat="false" ht="53.25" hidden="false" customHeight="true" outlineLevel="0" collapsed="false">
      <c r="A52" s="116" t="s">
        <v>333</v>
      </c>
      <c r="B52" s="132" t="s">
        <v>334</v>
      </c>
      <c r="C52" s="132" t="s">
        <v>335</v>
      </c>
      <c r="D52" s="132" t="s">
        <v>336</v>
      </c>
      <c r="E52" s="133" t="s">
        <v>332</v>
      </c>
    </row>
    <row r="53" customFormat="false" ht="53.25" hidden="false" customHeight="true" outlineLevel="0" collapsed="false">
      <c r="A53" s="134" t="s">
        <v>337</v>
      </c>
      <c r="B53" s="135" t="s">
        <v>338</v>
      </c>
      <c r="C53" s="136" t="s">
        <v>339</v>
      </c>
      <c r="D53" s="135" t="s">
        <v>340</v>
      </c>
      <c r="E53" s="133" t="s">
        <v>332</v>
      </c>
    </row>
    <row r="54" customFormat="false" ht="53.25" hidden="false" customHeight="true" outlineLevel="0" collapsed="false">
      <c r="A54" s="137" t="s">
        <v>341</v>
      </c>
      <c r="B54" s="138" t="s">
        <v>342</v>
      </c>
      <c r="C54" s="136" t="s">
        <v>343</v>
      </c>
      <c r="D54" s="138" t="s">
        <v>344</v>
      </c>
      <c r="E54" s="133" t="s">
        <v>332</v>
      </c>
      <c r="F54" s="139"/>
    </row>
  </sheetData>
  <mergeCells count="24">
    <mergeCell ref="A1:I1"/>
    <mergeCell ref="A2:I2"/>
    <mergeCell ref="A21:G21"/>
    <mergeCell ref="A22:G22"/>
    <mergeCell ref="A24:G24"/>
    <mergeCell ref="C25:F25"/>
    <mergeCell ref="C26:F26"/>
    <mergeCell ref="C27:F27"/>
    <mergeCell ref="C28:F28"/>
    <mergeCell ref="C29:G29"/>
    <mergeCell ref="C30:G30"/>
    <mergeCell ref="C31:G31"/>
    <mergeCell ref="C32:G32"/>
    <mergeCell ref="C33:G33"/>
    <mergeCell ref="C34:G34"/>
    <mergeCell ref="C35:G35"/>
    <mergeCell ref="C36:G36"/>
    <mergeCell ref="A37:G37"/>
    <mergeCell ref="E38:G38"/>
    <mergeCell ref="E39:G39"/>
    <mergeCell ref="E40:G40"/>
    <mergeCell ref="E41:G41"/>
    <mergeCell ref="E42:G42"/>
    <mergeCell ref="E43:G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6600"/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5" min="2" style="1" width="15"/>
    <col collapsed="false" customWidth="true" hidden="false" outlineLevel="0" max="6" min="6" style="1" width="12"/>
    <col collapsed="false" customWidth="true" hidden="false" outlineLevel="0" max="7" min="7" style="1" width="52"/>
    <col collapsed="false" customWidth="true" hidden="false" outlineLevel="0" max="8" min="8" style="1" width="14"/>
  </cols>
  <sheetData>
    <row r="1" customFormat="false" ht="36" hidden="false" customHeight="true" outlineLevel="0" collapsed="false">
      <c r="A1" s="85" t="s">
        <v>345</v>
      </c>
      <c r="B1" s="85"/>
      <c r="C1" s="85"/>
      <c r="D1" s="85"/>
      <c r="E1" s="85"/>
      <c r="F1" s="85"/>
      <c r="G1" s="85"/>
    </row>
    <row r="2" customFormat="false" ht="96" hidden="false" customHeight="true" outlineLevel="0" collapsed="false">
      <c r="A2" s="3" t="s">
        <v>346</v>
      </c>
      <c r="B2" s="3"/>
      <c r="C2" s="3"/>
      <c r="D2" s="3"/>
      <c r="E2" s="3"/>
      <c r="F2" s="3"/>
      <c r="G2" s="3"/>
    </row>
    <row r="3" customFormat="false" ht="66" hidden="false" customHeight="true" outlineLevel="0" collapsed="false">
      <c r="A3" s="86" t="s">
        <v>76</v>
      </c>
      <c r="B3" s="86" t="s">
        <v>347</v>
      </c>
      <c r="C3" s="86" t="s">
        <v>348</v>
      </c>
      <c r="D3" s="86" t="s">
        <v>349</v>
      </c>
      <c r="E3" s="86" t="s">
        <v>350</v>
      </c>
      <c r="F3" s="86" t="s">
        <v>351</v>
      </c>
      <c r="G3" s="87" t="s">
        <v>352</v>
      </c>
    </row>
    <row r="4" customFormat="false" ht="21" hidden="false" customHeight="true" outlineLevel="0" collapsed="false">
      <c r="A4" s="45" t="s">
        <v>83</v>
      </c>
      <c r="B4" s="39"/>
      <c r="C4" s="40"/>
      <c r="D4" s="41"/>
      <c r="E4" s="42"/>
      <c r="F4" s="140"/>
      <c r="G4" s="89"/>
    </row>
    <row r="5" customFormat="false" ht="36" hidden="false" customHeight="true" outlineLevel="0" collapsed="false">
      <c r="A5" s="38" t="s">
        <v>353</v>
      </c>
      <c r="B5" s="46" t="s">
        <v>354</v>
      </c>
      <c r="C5" s="47" t="s">
        <v>354</v>
      </c>
      <c r="D5" s="48" t="s">
        <v>354</v>
      </c>
      <c r="E5" s="49" t="s">
        <v>354</v>
      </c>
      <c r="F5" s="141" t="s">
        <v>355</v>
      </c>
      <c r="G5" s="50" t="s">
        <v>356</v>
      </c>
    </row>
    <row r="6" customFormat="false" ht="36" hidden="false" customHeight="true" outlineLevel="0" collapsed="false">
      <c r="A6" s="45" t="s">
        <v>357</v>
      </c>
      <c r="B6" s="61" t="s">
        <v>358</v>
      </c>
      <c r="C6" s="62" t="s">
        <v>359</v>
      </c>
      <c r="D6" s="63" t="s">
        <v>360</v>
      </c>
      <c r="E6" s="64" t="s">
        <v>361</v>
      </c>
      <c r="F6" s="140"/>
      <c r="G6" s="50" t="s">
        <v>362</v>
      </c>
    </row>
    <row r="7" customFormat="false" ht="21" hidden="false" customHeight="true" outlineLevel="0" collapsed="false">
      <c r="A7" s="38" t="s">
        <v>363</v>
      </c>
      <c r="B7" s="46" t="n">
        <f aca="false">B5*B6</f>
        <v>800</v>
      </c>
      <c r="C7" s="47" t="n">
        <f aca="false">C5*C6</f>
        <v>640</v>
      </c>
      <c r="D7" s="48" t="n">
        <f aca="false">D5*D6</f>
        <v>440</v>
      </c>
      <c r="E7" s="49" t="n">
        <f aca="false">E5*E6</f>
        <v>200</v>
      </c>
      <c r="F7" s="141" t="s">
        <v>355</v>
      </c>
      <c r="G7" s="89"/>
    </row>
    <row r="8" customFormat="false" ht="21" hidden="false" customHeight="true" outlineLevel="0" collapsed="false">
      <c r="A8" s="45" t="s">
        <v>364</v>
      </c>
      <c r="B8" s="46" t="n">
        <f aca="false">0</f>
        <v>0</v>
      </c>
      <c r="C8" s="47" t="n">
        <f aca="false">C49</f>
        <v>0</v>
      </c>
      <c r="D8" s="48" t="n">
        <f aca="false">D49</f>
        <v>0</v>
      </c>
      <c r="E8" s="49" t="n">
        <f aca="false">E49</f>
        <v>0</v>
      </c>
      <c r="F8" s="141" t="s">
        <v>355</v>
      </c>
      <c r="G8" s="50" t="s">
        <v>365</v>
      </c>
    </row>
    <row r="9" customFormat="false" ht="21" hidden="false" customHeight="true" outlineLevel="0" collapsed="false">
      <c r="A9" s="38" t="s">
        <v>366</v>
      </c>
      <c r="B9" s="46" t="n">
        <f aca="false">B7</f>
        <v>800</v>
      </c>
      <c r="C9" s="47" t="n">
        <f aca="false">MAX(0,C7-C8)</f>
        <v>640</v>
      </c>
      <c r="D9" s="48" t="n">
        <f aca="false">MAX(0,D7-D8)</f>
        <v>440</v>
      </c>
      <c r="E9" s="49" t="n">
        <f aca="false">MAX(0,E7-E8)</f>
        <v>200</v>
      </c>
      <c r="F9" s="141" t="s">
        <v>355</v>
      </c>
      <c r="G9" s="89"/>
    </row>
    <row r="10" customFormat="false" ht="21" hidden="false" customHeight="true" outlineLevel="0" collapsed="false">
      <c r="A10" s="45" t="s">
        <v>83</v>
      </c>
      <c r="B10" s="39"/>
      <c r="C10" s="40"/>
      <c r="D10" s="41"/>
      <c r="E10" s="42"/>
      <c r="F10" s="140"/>
      <c r="G10" s="89"/>
    </row>
    <row r="11" customFormat="false" ht="36" hidden="false" customHeight="true" outlineLevel="0" collapsed="false">
      <c r="A11" s="38" t="s">
        <v>199</v>
      </c>
      <c r="B11" s="46" t="n">
        <f aca="false">Assumptions!B5</f>
        <v>500</v>
      </c>
      <c r="C11" s="47" t="n">
        <f aca="false">Assumptions!B5</f>
        <v>500</v>
      </c>
      <c r="D11" s="48" t="n">
        <f aca="false">Assumptions!B5*0.85</f>
        <v>425</v>
      </c>
      <c r="E11" s="49" t="n">
        <f aca="false">Assumptions!B5*0.7</f>
        <v>350</v>
      </c>
      <c r="F11" s="141" t="s">
        <v>367</v>
      </c>
      <c r="G11" s="50" t="s">
        <v>368</v>
      </c>
    </row>
    <row r="12" customFormat="false" ht="36" hidden="false" customHeight="true" outlineLevel="0" collapsed="false">
      <c r="A12" s="45" t="s">
        <v>201</v>
      </c>
      <c r="B12" s="46" t="s">
        <v>202</v>
      </c>
      <c r="C12" s="47" t="s">
        <v>202</v>
      </c>
      <c r="D12" s="48" t="s">
        <v>203</v>
      </c>
      <c r="E12" s="49" t="s">
        <v>204</v>
      </c>
      <c r="F12" s="141" t="s">
        <v>369</v>
      </c>
      <c r="G12" s="50" t="s">
        <v>370</v>
      </c>
    </row>
    <row r="13" customFormat="false" ht="36" hidden="false" customHeight="true" outlineLevel="0" collapsed="false">
      <c r="A13" s="38" t="s">
        <v>371</v>
      </c>
      <c r="B13" s="46" t="n">
        <f aca="false">Assumptions!B13</f>
        <v>0.3</v>
      </c>
      <c r="C13" s="47" t="n">
        <f aca="false">Assumptions!B13</f>
        <v>0.3</v>
      </c>
      <c r="D13" s="48" t="n">
        <f aca="false">Assumptions!B13</f>
        <v>0.3</v>
      </c>
      <c r="E13" s="49" t="n">
        <f aca="false">Assumptions!B13</f>
        <v>0.3</v>
      </c>
      <c r="F13" s="141" t="s">
        <v>372</v>
      </c>
      <c r="G13" s="142" t="s">
        <v>373</v>
      </c>
    </row>
    <row r="14" customFormat="false" ht="21" hidden="false" customHeight="true" outlineLevel="0" collapsed="false">
      <c r="A14" s="45" t="s">
        <v>374</v>
      </c>
      <c r="B14" s="46" t="n">
        <f aca="false">B11*B12*B13</f>
        <v>825</v>
      </c>
      <c r="C14" s="47" t="n">
        <f aca="false">C11*C12*C13</f>
        <v>825</v>
      </c>
      <c r="D14" s="48" t="n">
        <f aca="false">D11*D12*D13</f>
        <v>765</v>
      </c>
      <c r="E14" s="49" t="n">
        <f aca="false">E11*E12*E13</f>
        <v>682.5</v>
      </c>
      <c r="F14" s="141" t="s">
        <v>355</v>
      </c>
      <c r="G14" s="89"/>
    </row>
    <row r="15" customFormat="false" ht="21" hidden="false" customHeight="true" outlineLevel="0" collapsed="false">
      <c r="A15" s="38" t="s">
        <v>366</v>
      </c>
      <c r="B15" s="46" t="n">
        <f aca="false">B9</f>
        <v>800</v>
      </c>
      <c r="C15" s="47" t="n">
        <f aca="false">C9</f>
        <v>640</v>
      </c>
      <c r="D15" s="48" t="n">
        <f aca="false">D9</f>
        <v>440</v>
      </c>
      <c r="E15" s="49" t="n">
        <f aca="false">E9</f>
        <v>200</v>
      </c>
      <c r="F15" s="141" t="s">
        <v>355</v>
      </c>
      <c r="G15" s="50" t="s">
        <v>375</v>
      </c>
    </row>
    <row r="16" customFormat="false" ht="21" hidden="false" customHeight="true" outlineLevel="0" collapsed="false">
      <c r="A16" s="88" t="s">
        <v>376</v>
      </c>
      <c r="B16" s="143" t="n">
        <f aca="false">MAX(0,B14-B15)</f>
        <v>25</v>
      </c>
      <c r="C16" s="144" t="n">
        <f aca="false">MAX(0,C14-C15)</f>
        <v>185</v>
      </c>
      <c r="D16" s="145" t="n">
        <f aca="false">MAX(0,D14-D15)</f>
        <v>325</v>
      </c>
      <c r="E16" s="146" t="n">
        <f aca="false">MAX(0,E14-E15)</f>
        <v>482.5</v>
      </c>
      <c r="F16" s="141" t="s">
        <v>355</v>
      </c>
      <c r="G16" s="89"/>
    </row>
    <row r="17" customFormat="false" ht="21" hidden="false" customHeight="true" outlineLevel="0" collapsed="false">
      <c r="A17" s="38" t="s">
        <v>83</v>
      </c>
      <c r="B17" s="39"/>
      <c r="C17" s="40"/>
      <c r="D17" s="41"/>
      <c r="E17" s="42"/>
      <c r="F17" s="140"/>
      <c r="G17" s="89"/>
    </row>
    <row r="18" customFormat="false" ht="21" hidden="false" customHeight="true" outlineLevel="0" collapsed="false">
      <c r="A18" s="45" t="s">
        <v>377</v>
      </c>
      <c r="B18" s="65" t="n">
        <f aca="false">Assumptions!B27</f>
        <v>2900</v>
      </c>
      <c r="C18" s="66" t="n">
        <f aca="false">Assumptions!B27</f>
        <v>2900</v>
      </c>
      <c r="D18" s="67" t="n">
        <f aca="false">Assumptions!B27</f>
        <v>2900</v>
      </c>
      <c r="E18" s="68" t="n">
        <f aca="false">Assumptions!B27</f>
        <v>2900</v>
      </c>
      <c r="F18" s="141" t="s">
        <v>378</v>
      </c>
      <c r="G18" s="50" t="s">
        <v>379</v>
      </c>
    </row>
    <row r="19" customFormat="false" ht="36" hidden="false" customHeight="true" outlineLevel="0" collapsed="false">
      <c r="A19" s="38" t="s">
        <v>380</v>
      </c>
      <c r="B19" s="61" t="s">
        <v>183</v>
      </c>
      <c r="C19" s="62" t="s">
        <v>130</v>
      </c>
      <c r="D19" s="63" t="s">
        <v>132</v>
      </c>
      <c r="E19" s="64" t="s">
        <v>184</v>
      </c>
      <c r="F19" s="140"/>
      <c r="G19" s="50" t="s">
        <v>381</v>
      </c>
    </row>
    <row r="20" customFormat="false" ht="21" hidden="false" customHeight="true" outlineLevel="0" collapsed="false">
      <c r="A20" s="45" t="s">
        <v>382</v>
      </c>
      <c r="B20" s="65" t="n">
        <f aca="false">B18*(1+B19)</f>
        <v>2900</v>
      </c>
      <c r="C20" s="66" t="n">
        <f aca="false">C18*(1+C19)</f>
        <v>3335</v>
      </c>
      <c r="D20" s="67" t="n">
        <f aca="false">D18*(1+D19)</f>
        <v>3915</v>
      </c>
      <c r="E20" s="68" t="n">
        <f aca="false">E18*(1+E19)</f>
        <v>4785</v>
      </c>
      <c r="F20" s="141" t="s">
        <v>378</v>
      </c>
      <c r="G20" s="89"/>
    </row>
    <row r="21" customFormat="false" ht="21" hidden="false" customHeight="true" outlineLevel="0" collapsed="false">
      <c r="A21" s="38" t="s">
        <v>383</v>
      </c>
      <c r="B21" s="65" t="s">
        <v>384</v>
      </c>
      <c r="C21" s="66" t="s">
        <v>162</v>
      </c>
      <c r="D21" s="67" t="s">
        <v>385</v>
      </c>
      <c r="E21" s="68" t="s">
        <v>154</v>
      </c>
      <c r="F21" s="141" t="s">
        <v>378</v>
      </c>
      <c r="G21" s="50" t="s">
        <v>386</v>
      </c>
    </row>
    <row r="22" customFormat="false" ht="21" hidden="false" customHeight="true" outlineLevel="0" collapsed="false">
      <c r="A22" s="45" t="s">
        <v>387</v>
      </c>
      <c r="B22" s="65" t="n">
        <f aca="false">B20+B21</f>
        <v>2915</v>
      </c>
      <c r="C22" s="66" t="n">
        <f aca="false">C20+C21</f>
        <v>3355</v>
      </c>
      <c r="D22" s="67" t="n">
        <f aca="false">D20+D21</f>
        <v>3943</v>
      </c>
      <c r="E22" s="68" t="n">
        <f aca="false">E20+E21</f>
        <v>4825</v>
      </c>
      <c r="F22" s="141" t="s">
        <v>378</v>
      </c>
      <c r="G22" s="89"/>
    </row>
    <row r="23" customFormat="false" ht="21" hidden="false" customHeight="true" outlineLevel="0" collapsed="false">
      <c r="A23" s="74" t="s">
        <v>388</v>
      </c>
      <c r="B23" s="75" t="n">
        <f aca="false">B16*B22</f>
        <v>72875</v>
      </c>
      <c r="C23" s="76" t="n">
        <f aca="false">C16*C22</f>
        <v>620675</v>
      </c>
      <c r="D23" s="77" t="n">
        <f aca="false">D16*D22</f>
        <v>1281475</v>
      </c>
      <c r="E23" s="78" t="n">
        <f aca="false">E16*E22</f>
        <v>2328062.5</v>
      </c>
      <c r="F23" s="141" t="s">
        <v>389</v>
      </c>
      <c r="G23" s="89"/>
    </row>
    <row r="24" customFormat="false" ht="21" hidden="false" customHeight="true" outlineLevel="0" collapsed="false">
      <c r="A24" s="45" t="s">
        <v>390</v>
      </c>
      <c r="B24" s="56" t="n">
        <f aca="false">B23/B11</f>
        <v>145.75</v>
      </c>
      <c r="C24" s="57" t="n">
        <f aca="false">C23/C11</f>
        <v>1241.35</v>
      </c>
      <c r="D24" s="58" t="n">
        <f aca="false">D23/D11</f>
        <v>3015.23529411765</v>
      </c>
      <c r="E24" s="59" t="n">
        <f aca="false">E23/E11</f>
        <v>6651.60714285714</v>
      </c>
      <c r="F24" s="141" t="s">
        <v>391</v>
      </c>
      <c r="G24" s="89"/>
    </row>
    <row r="25" customFormat="false" ht="21" hidden="false" customHeight="true" outlineLevel="0" collapsed="false">
      <c r="A25" s="38" t="s">
        <v>83</v>
      </c>
      <c r="B25" s="39"/>
      <c r="C25" s="40"/>
      <c r="D25" s="41"/>
      <c r="E25" s="42"/>
      <c r="F25" s="140"/>
      <c r="G25" s="89"/>
    </row>
    <row r="26" customFormat="false" ht="36" hidden="false" customHeight="true" outlineLevel="0" collapsed="false">
      <c r="A26" s="45" t="s">
        <v>392</v>
      </c>
      <c r="B26" s="38" t="s">
        <v>393</v>
      </c>
      <c r="C26" s="92" t="s">
        <v>394</v>
      </c>
      <c r="D26" s="93" t="s">
        <v>395</v>
      </c>
      <c r="E26" s="94" t="s">
        <v>396</v>
      </c>
      <c r="F26" s="140"/>
      <c r="G26" s="50" t="s">
        <v>397</v>
      </c>
    </row>
    <row r="27" customFormat="false" ht="36" hidden="false" customHeight="true" outlineLevel="0" collapsed="false">
      <c r="A27" s="38" t="s">
        <v>398</v>
      </c>
      <c r="B27" s="65" t="n">
        <f aca="false">B20</f>
        <v>2900</v>
      </c>
      <c r="C27" s="66" t="n">
        <f aca="false">C20*1.2</f>
        <v>4002</v>
      </c>
      <c r="D27" s="67" t="n">
        <f aca="false">D20*1.4</f>
        <v>5481</v>
      </c>
      <c r="E27" s="68" t="n">
        <f aca="false">E20*1.8</f>
        <v>8613</v>
      </c>
      <c r="F27" s="141" t="s">
        <v>378</v>
      </c>
      <c r="G27" s="50" t="s">
        <v>399</v>
      </c>
    </row>
    <row r="28" customFormat="false" ht="21" hidden="false" customHeight="true" outlineLevel="0" collapsed="false">
      <c r="A28" s="45" t="s">
        <v>400</v>
      </c>
      <c r="B28" s="65" t="s">
        <v>90</v>
      </c>
      <c r="C28" s="66" t="n">
        <f aca="false">C16*(C27-C22)</f>
        <v>119695</v>
      </c>
      <c r="D28" s="67" t="n">
        <f aca="false">D16*(D27-D22)</f>
        <v>499850</v>
      </c>
      <c r="E28" s="68" t="n">
        <f aca="false">E16*(E27-E22)</f>
        <v>1827710</v>
      </c>
      <c r="F28" s="141" t="s">
        <v>389</v>
      </c>
      <c r="G28" s="50" t="s">
        <v>401</v>
      </c>
    </row>
    <row r="29" customFormat="false" ht="21" hidden="false" customHeight="true" outlineLevel="0" collapsed="false">
      <c r="A29" s="38" t="s">
        <v>83</v>
      </c>
      <c r="B29" s="39"/>
      <c r="C29" s="40"/>
      <c r="D29" s="41"/>
      <c r="E29" s="42"/>
      <c r="F29" s="140"/>
      <c r="G29" s="89"/>
    </row>
    <row r="30" customFormat="false" ht="36" hidden="false" customHeight="true" outlineLevel="0" collapsed="false">
      <c r="A30" s="45" t="s">
        <v>402</v>
      </c>
      <c r="B30" s="46" t="s">
        <v>84</v>
      </c>
      <c r="C30" s="47" t="n">
        <f aca="false">C23/(Assumptions!B22/100*1280)</f>
        <v>111.132020202599</v>
      </c>
      <c r="D30" s="48" t="n">
        <f aca="false">D23/(Assumptions!B22/100*1200)</f>
        <v>244.744994232194</v>
      </c>
      <c r="E30" s="49" t="n">
        <f aca="false">E23/(Assumptions!B22/100*1100)</f>
        <v>485.050410135781</v>
      </c>
      <c r="F30" s="141" t="s">
        <v>367</v>
      </c>
      <c r="G30" s="50" t="s">
        <v>403</v>
      </c>
    </row>
    <row r="31" customFormat="false" ht="36" hidden="false" customHeight="true" outlineLevel="0" collapsed="false">
      <c r="A31" s="38" t="s">
        <v>404</v>
      </c>
      <c r="B31" s="61" t="s">
        <v>84</v>
      </c>
      <c r="C31" s="62" t="n">
        <f aca="false">C30/Assumptions!B5</f>
        <v>0.222264040405198</v>
      </c>
      <c r="D31" s="63" t="n">
        <f aca="false">D30/Assumptions!B5</f>
        <v>0.489489988464389</v>
      </c>
      <c r="E31" s="64" t="n">
        <f aca="false">E30/Assumptions!B5</f>
        <v>0.970100820271563</v>
      </c>
      <c r="F31" s="140"/>
      <c r="G31" s="50" t="s">
        <v>405</v>
      </c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2026-04-13T18:35:14Z</dcterms:created>
  <dc:creator>openpyxl</dc:creator>
  <dc:description/>
  <dc:language>en-US</dc:language>
  <cp:lastModifiedBy/>
  <dcterms:modified xsi:type="dcterms:W3CDTF">2026-04-14T13:13:48Z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